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inetpub\wwwroot\envstats\Questionnaires\2019\Country Files\"/>
    </mc:Choice>
  </mc:AlternateContent>
  <xr:revisionPtr revIDLastSave="0" documentId="13_ncr:1_{4D86C658-1EEC-4B8D-B532-E1A0B0CDF8A4}" xr6:coauthVersionLast="44" xr6:coauthVersionMax="44" xr10:uidLastSave="{00000000-0000-0000-0000-000000000000}"/>
  <bookViews>
    <workbookView xWindow="28680" yWindow="-120" windowWidth="29040" windowHeight="15840" tabRatio="601" activeTab="4" xr2:uid="{00000000-000D-0000-FFFF-FFFF00000000}"/>
  </bookViews>
  <sheets>
    <sheet name="Índice" sheetId="23" r:id="rId1"/>
    <sheet name="Guía" sheetId="27" r:id="rId2"/>
    <sheet name="Definiciones" sheetId="29" r:id="rId3"/>
    <sheet name="Diagram" sheetId="48" r:id="rId4"/>
    <sheet name="W1" sheetId="46" r:id="rId5"/>
    <sheet name="W2" sheetId="47" r:id="rId6"/>
    <sheet name="W3" sheetId="41" r:id="rId7"/>
    <sheet name="W4" sheetId="40" r:id="rId8"/>
    <sheet name="W5" sheetId="28" r:id="rId9"/>
    <sheet name="W6" sheetId="44" r:id="rId10"/>
  </sheets>
  <externalReferences>
    <externalReference r:id="rId11"/>
  </externalReference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'W1'!$A$37:$AO$58</definedName>
    <definedName name="Foot" localSheetId="5">'W2'!$A$65:$BB$86</definedName>
    <definedName name="Foot" localSheetId="6">'W3'!$A$47:$AO$68</definedName>
    <definedName name="Foot" localSheetId="7">'W4'!$A$51:$AO$72</definedName>
    <definedName name="Foot" localSheetId="8">'W5'!$A$22:$AO$43</definedName>
    <definedName name="FootLng" localSheetId="4">'W1'!$B$34</definedName>
    <definedName name="FootLng" localSheetId="5">'W2'!$B$62</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Definiciones!$B$1:$D$79</definedName>
    <definedName name="_xlnm.Print_Area" localSheetId="3">Diagram!$B$1:$X$39</definedName>
    <definedName name="_xlnm.Print_Area" localSheetId="1">Guía!$A$1:$K$71</definedName>
    <definedName name="_xlnm.Print_Area" localSheetId="0">Índice!$A$1:$L$29</definedName>
    <definedName name="_xlnm.Print_Area" localSheetId="4">'W1'!$C$1:$BD$58</definedName>
    <definedName name="_xlnm.Print_Area" localSheetId="5">'W2'!$C$1:$BB$87</definedName>
    <definedName name="_xlnm.Print_Area" localSheetId="6">'W3'!$C$1:$BB$68</definedName>
    <definedName name="_xlnm.Print_Area" localSheetId="7">'W4'!$C$1:$BB$72</definedName>
    <definedName name="_xlnm.Print_Area" localSheetId="8">'W5'!$C$1:$BC$43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2" i="28" l="1"/>
  <c r="AX12" i="28"/>
  <c r="AV12" i="28"/>
  <c r="AT12" i="28"/>
  <c r="AR12" i="28"/>
  <c r="AP12" i="28"/>
  <c r="AZ10" i="46" l="1"/>
  <c r="AX10" i="46"/>
  <c r="AV10" i="46"/>
  <c r="AX21" i="40" l="1"/>
  <c r="AX16" i="40"/>
  <c r="AX11" i="40"/>
  <c r="AX8" i="40" s="1"/>
  <c r="AV21" i="40"/>
  <c r="AV16" i="40"/>
  <c r="AV11" i="40"/>
  <c r="AT21" i="40"/>
  <c r="AT16" i="40"/>
  <c r="AT11" i="40"/>
  <c r="AV8" i="40" l="1"/>
  <c r="AT8" i="40"/>
  <c r="AX15" i="41"/>
  <c r="AV15" i="41"/>
  <c r="AT15" i="41"/>
  <c r="AX12" i="41"/>
  <c r="AV12" i="41"/>
  <c r="AT12" i="41"/>
  <c r="AX8" i="41"/>
  <c r="AV8" i="41"/>
  <c r="AT8" i="41"/>
  <c r="AX10" i="41" l="1"/>
  <c r="AV10" i="41"/>
  <c r="AT10" i="41"/>
  <c r="AX36" i="47" l="1"/>
  <c r="AV36" i="47"/>
  <c r="AT36" i="47"/>
  <c r="AX34" i="47"/>
  <c r="DA34" i="47" s="1"/>
  <c r="AV34" i="47"/>
  <c r="AT34" i="47"/>
  <c r="CW34" i="47" s="1"/>
  <c r="AX31" i="47"/>
  <c r="AV31" i="47"/>
  <c r="CW31" i="47" s="1"/>
  <c r="AT31" i="47"/>
  <c r="AX30" i="47"/>
  <c r="DA30" i="47" s="1"/>
  <c r="AV30" i="47"/>
  <c r="AT30" i="47"/>
  <c r="CU30" i="47" s="1"/>
  <c r="AX10" i="47"/>
  <c r="CY50" i="47" s="1"/>
  <c r="AV10" i="47"/>
  <c r="CW42" i="47" s="1"/>
  <c r="AT10" i="47"/>
  <c r="AT26" i="47" s="1"/>
  <c r="CG50" i="47"/>
  <c r="V32" i="48"/>
  <c r="V34" i="48"/>
  <c r="V28" i="48"/>
  <c r="V22" i="48"/>
  <c r="V24" i="48"/>
  <c r="V26" i="48"/>
  <c r="V30" i="48"/>
  <c r="Q27" i="48"/>
  <c r="R23" i="48"/>
  <c r="P23" i="48"/>
  <c r="K26" i="48"/>
  <c r="K24" i="48"/>
  <c r="K22" i="48"/>
  <c r="J18" i="48"/>
  <c r="L18" i="48"/>
  <c r="K18" i="48"/>
  <c r="I18" i="48"/>
  <c r="H18" i="48"/>
  <c r="G8" i="48"/>
  <c r="H8" i="48"/>
  <c r="G11" i="48"/>
  <c r="L12" i="48"/>
  <c r="E13" i="48"/>
  <c r="G13" i="48"/>
  <c r="L14" i="48"/>
  <c r="E16" i="48"/>
  <c r="E18" i="48"/>
  <c r="F18" i="48"/>
  <c r="G18" i="48"/>
  <c r="E20" i="48"/>
  <c r="S24" i="48"/>
  <c r="DA47" i="40"/>
  <c r="CY47" i="40"/>
  <c r="CW47" i="40"/>
  <c r="CU47" i="40"/>
  <c r="CS47" i="40"/>
  <c r="CQ47" i="40"/>
  <c r="CO47" i="40"/>
  <c r="CM47" i="40"/>
  <c r="CK47" i="40"/>
  <c r="CI47" i="40"/>
  <c r="CG47" i="40"/>
  <c r="CE47" i="40"/>
  <c r="CC47" i="40"/>
  <c r="CA47" i="40"/>
  <c r="BY47" i="40"/>
  <c r="BW47" i="40"/>
  <c r="BU47" i="40"/>
  <c r="BS47" i="40"/>
  <c r="BQ47" i="40"/>
  <c r="BO47" i="40"/>
  <c r="BM47" i="40"/>
  <c r="BK47" i="40"/>
  <c r="BI47" i="40"/>
  <c r="BG47" i="40"/>
  <c r="DA46" i="40"/>
  <c r="CY46" i="40"/>
  <c r="CW46" i="40"/>
  <c r="CU46" i="40"/>
  <c r="CS46" i="40"/>
  <c r="CQ46" i="40"/>
  <c r="CO46" i="40"/>
  <c r="CM46" i="40"/>
  <c r="CK46" i="40"/>
  <c r="CI46" i="40"/>
  <c r="CG46" i="40"/>
  <c r="CE46" i="40"/>
  <c r="CC46" i="40"/>
  <c r="CA46" i="40"/>
  <c r="BY46" i="40"/>
  <c r="BW46" i="40"/>
  <c r="BU46" i="40"/>
  <c r="BS46" i="40"/>
  <c r="BQ46" i="40"/>
  <c r="BO46" i="40"/>
  <c r="BM46" i="40"/>
  <c r="BK46" i="40"/>
  <c r="BI46" i="40"/>
  <c r="BG46" i="40"/>
  <c r="DA44" i="40"/>
  <c r="CY44" i="40"/>
  <c r="CW44" i="40"/>
  <c r="CU44" i="40"/>
  <c r="CS44" i="40"/>
  <c r="CQ44" i="40"/>
  <c r="CO44" i="40"/>
  <c r="CM44" i="40"/>
  <c r="CK44" i="40"/>
  <c r="CI44" i="40"/>
  <c r="CG44" i="40"/>
  <c r="CE44" i="40"/>
  <c r="CC44" i="40"/>
  <c r="CA44" i="40"/>
  <c r="BY44" i="40"/>
  <c r="BW44" i="40"/>
  <c r="BU44" i="40"/>
  <c r="BS44" i="40"/>
  <c r="BQ44" i="40"/>
  <c r="BO44" i="40"/>
  <c r="BM44" i="40"/>
  <c r="BK44" i="40"/>
  <c r="BI44" i="40"/>
  <c r="BG44" i="40"/>
  <c r="DA42" i="40"/>
  <c r="CY42" i="40"/>
  <c r="CW42" i="40"/>
  <c r="CU42" i="40"/>
  <c r="CS42" i="40"/>
  <c r="CQ42" i="40"/>
  <c r="CO42" i="40"/>
  <c r="CM42" i="40"/>
  <c r="CK42" i="40"/>
  <c r="CI42" i="40"/>
  <c r="CG42" i="40"/>
  <c r="CE42" i="40"/>
  <c r="CC42" i="40"/>
  <c r="CA42" i="40"/>
  <c r="BY42" i="40"/>
  <c r="BW42" i="40"/>
  <c r="BU42" i="40"/>
  <c r="BS42" i="40"/>
  <c r="BQ42" i="40"/>
  <c r="BO42" i="40"/>
  <c r="BM42" i="40"/>
  <c r="BK42" i="40"/>
  <c r="BI42" i="40"/>
  <c r="BG42" i="40"/>
  <c r="DA40" i="40"/>
  <c r="CY40" i="40"/>
  <c r="CW40" i="40"/>
  <c r="CU40" i="40"/>
  <c r="CS40" i="40"/>
  <c r="CQ40" i="40"/>
  <c r="CO40" i="40"/>
  <c r="CM40" i="40"/>
  <c r="CK40" i="40"/>
  <c r="CI40" i="40"/>
  <c r="CG40" i="40"/>
  <c r="CE40" i="40"/>
  <c r="CC40" i="40"/>
  <c r="CA40" i="40"/>
  <c r="BY40" i="40"/>
  <c r="BW40" i="40"/>
  <c r="BU40" i="40"/>
  <c r="BS40" i="40"/>
  <c r="BQ40" i="40"/>
  <c r="BO40" i="40"/>
  <c r="BM40" i="40"/>
  <c r="BK40" i="40"/>
  <c r="BI40" i="40"/>
  <c r="BG40" i="40"/>
  <c r="DA38" i="40"/>
  <c r="CY38" i="40"/>
  <c r="CW38" i="40"/>
  <c r="CU38" i="40"/>
  <c r="CS38" i="40"/>
  <c r="CQ38" i="40"/>
  <c r="CO38" i="40"/>
  <c r="CM38" i="40"/>
  <c r="CK38" i="40"/>
  <c r="CI38" i="40"/>
  <c r="CG38" i="40"/>
  <c r="CE38" i="40"/>
  <c r="CC38" i="40"/>
  <c r="CA38" i="40"/>
  <c r="BY38" i="40"/>
  <c r="BW38" i="40"/>
  <c r="BU38" i="40"/>
  <c r="BS38" i="40"/>
  <c r="BQ38" i="40"/>
  <c r="BO38" i="40"/>
  <c r="BM38" i="40"/>
  <c r="BK38" i="40"/>
  <c r="BI38" i="40"/>
  <c r="BG38" i="40"/>
  <c r="DA36" i="40"/>
  <c r="CY36" i="40"/>
  <c r="CW36" i="40"/>
  <c r="CU36" i="40"/>
  <c r="CS36" i="40"/>
  <c r="CQ36" i="40"/>
  <c r="CO36" i="40"/>
  <c r="CM36" i="40"/>
  <c r="CK36" i="40"/>
  <c r="CI36" i="40"/>
  <c r="CG36" i="40"/>
  <c r="CE36" i="40"/>
  <c r="CC36" i="40"/>
  <c r="CA36" i="40"/>
  <c r="BY36" i="40"/>
  <c r="BW36" i="40"/>
  <c r="BU36" i="40"/>
  <c r="BS36" i="40"/>
  <c r="BQ36" i="40"/>
  <c r="BO36" i="40"/>
  <c r="BM36" i="40"/>
  <c r="BK36" i="40"/>
  <c r="BI36" i="40"/>
  <c r="BG36" i="40"/>
  <c r="DA34" i="40"/>
  <c r="CY34" i="40"/>
  <c r="CW34" i="40"/>
  <c r="CU34" i="40"/>
  <c r="CS34" i="40"/>
  <c r="CQ34" i="40"/>
  <c r="CO34" i="40"/>
  <c r="CM34" i="40"/>
  <c r="CK34" i="40"/>
  <c r="CI34" i="40"/>
  <c r="CG34" i="40"/>
  <c r="CE34" i="40"/>
  <c r="CC34" i="40"/>
  <c r="CA34" i="40"/>
  <c r="BY34" i="40"/>
  <c r="BW34" i="40"/>
  <c r="BU34" i="40"/>
  <c r="BS34" i="40"/>
  <c r="BQ34" i="40"/>
  <c r="BO34" i="40"/>
  <c r="BM34" i="40"/>
  <c r="BK34" i="40"/>
  <c r="BI34" i="40"/>
  <c r="BG34" i="40"/>
  <c r="DA33" i="40"/>
  <c r="CY33" i="40"/>
  <c r="CW33" i="40"/>
  <c r="CU33" i="40"/>
  <c r="CS33" i="40"/>
  <c r="CQ33" i="40"/>
  <c r="CO33" i="40"/>
  <c r="CM33" i="40"/>
  <c r="CK33" i="40"/>
  <c r="CI33" i="40"/>
  <c r="CG33" i="40"/>
  <c r="CE33" i="40"/>
  <c r="CC33" i="40"/>
  <c r="CA33" i="40"/>
  <c r="BY33" i="40"/>
  <c r="BW33" i="40"/>
  <c r="BU33" i="40"/>
  <c r="BS33" i="40"/>
  <c r="BQ33" i="40"/>
  <c r="BO33" i="40"/>
  <c r="BM33" i="40"/>
  <c r="BK33" i="40"/>
  <c r="BI33" i="40"/>
  <c r="BG33" i="40"/>
  <c r="DA32" i="40"/>
  <c r="CY32" i="40"/>
  <c r="CW32" i="40"/>
  <c r="CU32" i="40"/>
  <c r="CS32" i="40"/>
  <c r="CQ32" i="40"/>
  <c r="CO32" i="40"/>
  <c r="CM32" i="40"/>
  <c r="CK32" i="40"/>
  <c r="CI32" i="40"/>
  <c r="CG32" i="40"/>
  <c r="CE32" i="40"/>
  <c r="CC32" i="40"/>
  <c r="CA32" i="40"/>
  <c r="BY32" i="40"/>
  <c r="BW32" i="40"/>
  <c r="BU32" i="40"/>
  <c r="BS32" i="40"/>
  <c r="BQ32" i="40"/>
  <c r="BO32" i="40"/>
  <c r="BM32" i="40"/>
  <c r="BK32" i="40"/>
  <c r="BI32" i="40"/>
  <c r="BG32" i="40"/>
  <c r="DA31" i="40"/>
  <c r="CY31" i="40"/>
  <c r="CW31" i="40"/>
  <c r="CU31" i="40"/>
  <c r="CS31" i="40"/>
  <c r="CQ31" i="40"/>
  <c r="CO31" i="40"/>
  <c r="CM31" i="40"/>
  <c r="CK31" i="40"/>
  <c r="CI31" i="40"/>
  <c r="CG31" i="40"/>
  <c r="CE31" i="40"/>
  <c r="CC31" i="40"/>
  <c r="CA31" i="40"/>
  <c r="BY31" i="40"/>
  <c r="BW31" i="40"/>
  <c r="BU31" i="40"/>
  <c r="BS31" i="40"/>
  <c r="BQ31" i="40"/>
  <c r="BO31" i="40"/>
  <c r="BM31" i="40"/>
  <c r="BK31" i="40"/>
  <c r="BI31" i="40"/>
  <c r="BG31" i="40"/>
  <c r="DA27" i="40"/>
  <c r="CY27" i="40"/>
  <c r="CW27" i="40"/>
  <c r="CU27" i="40"/>
  <c r="CS27" i="40"/>
  <c r="CQ27" i="40"/>
  <c r="CO27" i="40"/>
  <c r="CM27" i="40"/>
  <c r="CK27" i="40"/>
  <c r="CI27" i="40"/>
  <c r="CG27" i="40"/>
  <c r="CE27" i="40"/>
  <c r="CC27" i="40"/>
  <c r="CA27" i="40"/>
  <c r="BY27" i="40"/>
  <c r="BW27" i="40"/>
  <c r="BU27" i="40"/>
  <c r="BS27" i="40"/>
  <c r="BQ27" i="40"/>
  <c r="BO27" i="40"/>
  <c r="BM27" i="40"/>
  <c r="BK27" i="40"/>
  <c r="BI27" i="40"/>
  <c r="DA26" i="40"/>
  <c r="CY26" i="40"/>
  <c r="CW26" i="40"/>
  <c r="CU26" i="40"/>
  <c r="CS26" i="40"/>
  <c r="CQ26" i="40"/>
  <c r="CO26" i="40"/>
  <c r="CM26" i="40"/>
  <c r="CK26" i="40"/>
  <c r="CI26" i="40"/>
  <c r="CG26" i="40"/>
  <c r="CE26" i="40"/>
  <c r="CC26" i="40"/>
  <c r="CA26" i="40"/>
  <c r="BY26" i="40"/>
  <c r="BW26" i="40"/>
  <c r="BU26" i="40"/>
  <c r="BS26" i="40"/>
  <c r="BQ26" i="40"/>
  <c r="BO26" i="40"/>
  <c r="BM26" i="40"/>
  <c r="BK26" i="40"/>
  <c r="BI26" i="40"/>
  <c r="DA25" i="40"/>
  <c r="CY25" i="40"/>
  <c r="CW25" i="40"/>
  <c r="CU25" i="40"/>
  <c r="CS25" i="40"/>
  <c r="CQ25" i="40"/>
  <c r="CO25" i="40"/>
  <c r="CM25" i="40"/>
  <c r="CK25" i="40"/>
  <c r="CI25" i="40"/>
  <c r="CG25" i="40"/>
  <c r="CE25" i="40"/>
  <c r="CC25" i="40"/>
  <c r="CA25" i="40"/>
  <c r="BY25" i="40"/>
  <c r="BW25" i="40"/>
  <c r="BU25" i="40"/>
  <c r="BS25" i="40"/>
  <c r="BQ25" i="40"/>
  <c r="BO25" i="40"/>
  <c r="BM25" i="40"/>
  <c r="BK25" i="40"/>
  <c r="BI25" i="40"/>
  <c r="DA24" i="40"/>
  <c r="CY24" i="40"/>
  <c r="CW24" i="40"/>
  <c r="CU24" i="40"/>
  <c r="CS24" i="40"/>
  <c r="CQ24" i="40"/>
  <c r="CO24" i="40"/>
  <c r="CM24" i="40"/>
  <c r="CK24" i="40"/>
  <c r="CI24" i="40"/>
  <c r="CG24" i="40"/>
  <c r="CE24" i="40"/>
  <c r="CC24" i="40"/>
  <c r="CA24" i="40"/>
  <c r="BY24" i="40"/>
  <c r="BW24" i="40"/>
  <c r="BU24" i="40"/>
  <c r="BS24" i="40"/>
  <c r="BQ24" i="40"/>
  <c r="BO24" i="40"/>
  <c r="BM24" i="40"/>
  <c r="BK24" i="40"/>
  <c r="BI24" i="40"/>
  <c r="DA23" i="40"/>
  <c r="CY23" i="40"/>
  <c r="CW23" i="40"/>
  <c r="CU23" i="40"/>
  <c r="CS23" i="40"/>
  <c r="CQ23" i="40"/>
  <c r="CO23" i="40"/>
  <c r="CM23" i="40"/>
  <c r="CK23" i="40"/>
  <c r="CI23" i="40"/>
  <c r="CG23" i="40"/>
  <c r="CE23" i="40"/>
  <c r="CC23" i="40"/>
  <c r="CA23" i="40"/>
  <c r="BY23" i="40"/>
  <c r="BW23" i="40"/>
  <c r="BU23" i="40"/>
  <c r="BS23" i="40"/>
  <c r="BQ23" i="40"/>
  <c r="BO23" i="40"/>
  <c r="BM23" i="40"/>
  <c r="BK23" i="40"/>
  <c r="BI23" i="40"/>
  <c r="DA22" i="40"/>
  <c r="CY22" i="40"/>
  <c r="CW22" i="40"/>
  <c r="CU22" i="40"/>
  <c r="CS22" i="40"/>
  <c r="CQ22" i="40"/>
  <c r="CO22" i="40"/>
  <c r="CM22" i="40"/>
  <c r="CK22" i="40"/>
  <c r="CI22" i="40"/>
  <c r="CG22" i="40"/>
  <c r="CE22" i="40"/>
  <c r="CC22" i="40"/>
  <c r="CA22" i="40"/>
  <c r="BY22" i="40"/>
  <c r="BW22" i="40"/>
  <c r="BU22" i="40"/>
  <c r="BS22" i="40"/>
  <c r="BQ22" i="40"/>
  <c r="BO22" i="40"/>
  <c r="BM22" i="40"/>
  <c r="BK22" i="40"/>
  <c r="BI22" i="40"/>
  <c r="DA21" i="40"/>
  <c r="CY21" i="40"/>
  <c r="CW21" i="40"/>
  <c r="CU21" i="40"/>
  <c r="CS21" i="40"/>
  <c r="CQ21" i="40"/>
  <c r="CO21" i="40"/>
  <c r="CM21" i="40"/>
  <c r="CK21" i="40"/>
  <c r="CI21" i="40"/>
  <c r="CG21" i="40"/>
  <c r="CE21" i="40"/>
  <c r="CC21" i="40"/>
  <c r="CA21" i="40"/>
  <c r="BY21" i="40"/>
  <c r="BW21" i="40"/>
  <c r="BU21" i="40"/>
  <c r="BS21" i="40"/>
  <c r="BQ21" i="40"/>
  <c r="BO21" i="40"/>
  <c r="BM21" i="40"/>
  <c r="BK21" i="40"/>
  <c r="BI21" i="40"/>
  <c r="DA20" i="40"/>
  <c r="CY20" i="40"/>
  <c r="CW20" i="40"/>
  <c r="CU20" i="40"/>
  <c r="CS20" i="40"/>
  <c r="CQ20" i="40"/>
  <c r="CO20" i="40"/>
  <c r="CM20" i="40"/>
  <c r="CK20" i="40"/>
  <c r="CI20" i="40"/>
  <c r="CG20" i="40"/>
  <c r="CE20" i="40"/>
  <c r="CC20" i="40"/>
  <c r="CA20" i="40"/>
  <c r="BY20" i="40"/>
  <c r="BW20" i="40"/>
  <c r="BU20" i="40"/>
  <c r="BS20" i="40"/>
  <c r="BQ20" i="40"/>
  <c r="BO20" i="40"/>
  <c r="BM20" i="40"/>
  <c r="BK20" i="40"/>
  <c r="BI20" i="40"/>
  <c r="DA19" i="40"/>
  <c r="CY19" i="40"/>
  <c r="CW19" i="40"/>
  <c r="CU19" i="40"/>
  <c r="CS19" i="40"/>
  <c r="CQ19" i="40"/>
  <c r="CO19" i="40"/>
  <c r="CM19" i="40"/>
  <c r="CK19" i="40"/>
  <c r="CI19" i="40"/>
  <c r="CG19" i="40"/>
  <c r="CE19" i="40"/>
  <c r="CC19" i="40"/>
  <c r="CA19" i="40"/>
  <c r="BY19" i="40"/>
  <c r="BW19" i="40"/>
  <c r="BU19" i="40"/>
  <c r="BS19" i="40"/>
  <c r="BQ19" i="40"/>
  <c r="BO19" i="40"/>
  <c r="BM19" i="40"/>
  <c r="BK19" i="40"/>
  <c r="BI19" i="40"/>
  <c r="DA18" i="40"/>
  <c r="CY18" i="40"/>
  <c r="CW18" i="40"/>
  <c r="CU18" i="40"/>
  <c r="CS18" i="40"/>
  <c r="CQ18" i="40"/>
  <c r="CO18" i="40"/>
  <c r="CM18" i="40"/>
  <c r="CK18" i="40"/>
  <c r="CI18" i="40"/>
  <c r="CG18" i="40"/>
  <c r="CE18" i="40"/>
  <c r="CC18" i="40"/>
  <c r="CA18" i="40"/>
  <c r="BY18" i="40"/>
  <c r="BW18" i="40"/>
  <c r="BU18" i="40"/>
  <c r="BS18" i="40"/>
  <c r="BQ18" i="40"/>
  <c r="BO18" i="40"/>
  <c r="BM18" i="40"/>
  <c r="BK18" i="40"/>
  <c r="BI18" i="40"/>
  <c r="DA17" i="40"/>
  <c r="CY17" i="40"/>
  <c r="CW17" i="40"/>
  <c r="CU17" i="40"/>
  <c r="CS17" i="40"/>
  <c r="CQ17" i="40"/>
  <c r="CO17" i="40"/>
  <c r="CM17" i="40"/>
  <c r="CK17" i="40"/>
  <c r="CI17" i="40"/>
  <c r="CG17" i="40"/>
  <c r="CE17" i="40"/>
  <c r="CC17" i="40"/>
  <c r="CA17" i="40"/>
  <c r="BY17" i="40"/>
  <c r="BW17" i="40"/>
  <c r="BU17" i="40"/>
  <c r="BS17" i="40"/>
  <c r="BQ17" i="40"/>
  <c r="BO17" i="40"/>
  <c r="BM17" i="40"/>
  <c r="BK17" i="40"/>
  <c r="BI17" i="40"/>
  <c r="DA16" i="40"/>
  <c r="CY16" i="40"/>
  <c r="CW16" i="40"/>
  <c r="CU16" i="40"/>
  <c r="CS16" i="40"/>
  <c r="CQ16" i="40"/>
  <c r="CO16" i="40"/>
  <c r="CM16" i="40"/>
  <c r="CK16" i="40"/>
  <c r="CI16" i="40"/>
  <c r="CG16" i="40"/>
  <c r="CE16" i="40"/>
  <c r="CC16" i="40"/>
  <c r="CA16" i="40"/>
  <c r="BY16" i="40"/>
  <c r="BW16" i="40"/>
  <c r="BU16" i="40"/>
  <c r="BS16" i="40"/>
  <c r="BQ16" i="40"/>
  <c r="BO16" i="40"/>
  <c r="BM16" i="40"/>
  <c r="BK16" i="40"/>
  <c r="BI16" i="40"/>
  <c r="DA15" i="40"/>
  <c r="CY15" i="40"/>
  <c r="CW15" i="40"/>
  <c r="CU15" i="40"/>
  <c r="CS15" i="40"/>
  <c r="CQ15" i="40"/>
  <c r="CO15" i="40"/>
  <c r="CM15" i="40"/>
  <c r="CK15" i="40"/>
  <c r="CI15" i="40"/>
  <c r="CG15" i="40"/>
  <c r="CE15" i="40"/>
  <c r="CC15" i="40"/>
  <c r="CA15" i="40"/>
  <c r="BY15" i="40"/>
  <c r="BW15" i="40"/>
  <c r="BU15" i="40"/>
  <c r="BS15" i="40"/>
  <c r="BQ15" i="40"/>
  <c r="BO15" i="40"/>
  <c r="BM15" i="40"/>
  <c r="BK15" i="40"/>
  <c r="BI15" i="40"/>
  <c r="DA14" i="40"/>
  <c r="CY14" i="40"/>
  <c r="CW14" i="40"/>
  <c r="CU14" i="40"/>
  <c r="CS14" i="40"/>
  <c r="CQ14" i="40"/>
  <c r="CO14" i="40"/>
  <c r="CM14" i="40"/>
  <c r="CK14" i="40"/>
  <c r="CI14" i="40"/>
  <c r="CG14" i="40"/>
  <c r="CE14" i="40"/>
  <c r="CC14" i="40"/>
  <c r="CA14" i="40"/>
  <c r="BY14" i="40"/>
  <c r="BW14" i="40"/>
  <c r="BU14" i="40"/>
  <c r="BS14" i="40"/>
  <c r="BQ14" i="40"/>
  <c r="BO14" i="40"/>
  <c r="BM14" i="40"/>
  <c r="BK14" i="40"/>
  <c r="BI14" i="40"/>
  <c r="DA13" i="40"/>
  <c r="CY13" i="40"/>
  <c r="CW13" i="40"/>
  <c r="CU13" i="40"/>
  <c r="CS13" i="40"/>
  <c r="CQ13" i="40"/>
  <c r="CO13" i="40"/>
  <c r="CM13" i="40"/>
  <c r="CK13" i="40"/>
  <c r="CI13" i="40"/>
  <c r="CG13" i="40"/>
  <c r="CE13" i="40"/>
  <c r="CC13" i="40"/>
  <c r="CA13" i="40"/>
  <c r="BY13" i="40"/>
  <c r="BW13" i="40"/>
  <c r="BU13" i="40"/>
  <c r="BS13" i="40"/>
  <c r="BQ13" i="40"/>
  <c r="BO13" i="40"/>
  <c r="BM13" i="40"/>
  <c r="BK13" i="40"/>
  <c r="BI13" i="40"/>
  <c r="DA12" i="40"/>
  <c r="CY12" i="40"/>
  <c r="CW12" i="40"/>
  <c r="CU12" i="40"/>
  <c r="CS12" i="40"/>
  <c r="CQ12" i="40"/>
  <c r="CO12" i="40"/>
  <c r="CM12" i="40"/>
  <c r="CK12" i="40"/>
  <c r="CI12" i="40"/>
  <c r="CG12" i="40"/>
  <c r="CE12" i="40"/>
  <c r="CC12" i="40"/>
  <c r="CA12" i="40"/>
  <c r="BY12" i="40"/>
  <c r="BW12" i="40"/>
  <c r="BU12" i="40"/>
  <c r="BS12" i="40"/>
  <c r="BQ12" i="40"/>
  <c r="BO12" i="40"/>
  <c r="BM12" i="40"/>
  <c r="BK12" i="40"/>
  <c r="BI12" i="40"/>
  <c r="DA11" i="40"/>
  <c r="CY11" i="40"/>
  <c r="CW11" i="40"/>
  <c r="CU11" i="40"/>
  <c r="CS11" i="40"/>
  <c r="CQ11" i="40"/>
  <c r="CO11" i="40"/>
  <c r="CM11" i="40"/>
  <c r="CK11" i="40"/>
  <c r="CI11" i="40"/>
  <c r="CG11" i="40"/>
  <c r="CE11" i="40"/>
  <c r="CC11" i="40"/>
  <c r="CA11" i="40"/>
  <c r="BY11" i="40"/>
  <c r="BW11" i="40"/>
  <c r="BU11" i="40"/>
  <c r="BS11" i="40"/>
  <c r="BQ11" i="40"/>
  <c r="BO11" i="40"/>
  <c r="BM11" i="40"/>
  <c r="BK11" i="40"/>
  <c r="BI11" i="40"/>
  <c r="DA10" i="40"/>
  <c r="CY10" i="40"/>
  <c r="CW10" i="40"/>
  <c r="CU10" i="40"/>
  <c r="CS10" i="40"/>
  <c r="CQ10" i="40"/>
  <c r="CO10" i="40"/>
  <c r="CM10" i="40"/>
  <c r="CK10" i="40"/>
  <c r="CI10" i="40"/>
  <c r="CG10" i="40"/>
  <c r="CE10" i="40"/>
  <c r="CC10" i="40"/>
  <c r="CA10" i="40"/>
  <c r="BY10" i="40"/>
  <c r="BW10" i="40"/>
  <c r="BU10" i="40"/>
  <c r="BS10" i="40"/>
  <c r="BQ10" i="40"/>
  <c r="BO10" i="40"/>
  <c r="BM10" i="40"/>
  <c r="BK10" i="40"/>
  <c r="BI10" i="40"/>
  <c r="DA9" i="40"/>
  <c r="CY9" i="40"/>
  <c r="CW9" i="40"/>
  <c r="CU9" i="40"/>
  <c r="CS9" i="40"/>
  <c r="CQ9" i="40"/>
  <c r="CO9" i="40"/>
  <c r="CM9" i="40"/>
  <c r="CK9" i="40"/>
  <c r="CI9" i="40"/>
  <c r="CG9" i="40"/>
  <c r="CE9" i="40"/>
  <c r="CC9" i="40"/>
  <c r="CA9" i="40"/>
  <c r="BY9" i="40"/>
  <c r="BW9" i="40"/>
  <c r="BU9" i="40"/>
  <c r="BS9" i="40"/>
  <c r="BQ9" i="40"/>
  <c r="BO9" i="40"/>
  <c r="BM9" i="40"/>
  <c r="BK9" i="40"/>
  <c r="BI9" i="40"/>
  <c r="DA8" i="40"/>
  <c r="CY8" i="40"/>
  <c r="CW8" i="40"/>
  <c r="CU8" i="40"/>
  <c r="CS8" i="40"/>
  <c r="CQ8" i="40"/>
  <c r="CO8" i="40"/>
  <c r="CM8" i="40"/>
  <c r="CK8" i="40"/>
  <c r="CI8" i="40"/>
  <c r="CG8" i="40"/>
  <c r="CE8" i="40"/>
  <c r="CC8" i="40"/>
  <c r="CA8" i="40"/>
  <c r="BY8" i="40"/>
  <c r="BW8" i="40"/>
  <c r="BU8" i="40"/>
  <c r="BS8" i="40"/>
  <c r="BQ8" i="40"/>
  <c r="BO8" i="40"/>
  <c r="BM8" i="40"/>
  <c r="BK8" i="40"/>
  <c r="BI8" i="40"/>
  <c r="DA31" i="41"/>
  <c r="CY31" i="41"/>
  <c r="CW31" i="41"/>
  <c r="CU31" i="41"/>
  <c r="CS31" i="41"/>
  <c r="CQ31" i="41"/>
  <c r="CO31" i="41"/>
  <c r="CM31" i="41"/>
  <c r="CK31" i="41"/>
  <c r="CI31" i="41"/>
  <c r="CG31" i="41"/>
  <c r="CE31" i="41"/>
  <c r="CC31" i="41"/>
  <c r="CA31" i="41"/>
  <c r="BY31" i="41"/>
  <c r="BW31" i="41"/>
  <c r="BU31" i="41"/>
  <c r="BS31" i="41"/>
  <c r="BQ31" i="41"/>
  <c r="BO31" i="41"/>
  <c r="BM31" i="41"/>
  <c r="BK31" i="41"/>
  <c r="BI31" i="41"/>
  <c r="BG31" i="41"/>
  <c r="DA30" i="41"/>
  <c r="CY30" i="41"/>
  <c r="CW30" i="41"/>
  <c r="CU30" i="41"/>
  <c r="CS30" i="41"/>
  <c r="CQ30" i="41"/>
  <c r="CO30" i="41"/>
  <c r="CM30" i="41"/>
  <c r="CK30" i="41"/>
  <c r="CI30" i="41"/>
  <c r="CG30" i="41"/>
  <c r="CE30" i="41"/>
  <c r="CC30" i="41"/>
  <c r="CA30" i="41"/>
  <c r="BY30" i="41"/>
  <c r="BW30" i="41"/>
  <c r="BU30" i="41"/>
  <c r="BS30" i="41"/>
  <c r="BQ30" i="41"/>
  <c r="BO30" i="41"/>
  <c r="BM30" i="41"/>
  <c r="BK30" i="41"/>
  <c r="BI30" i="41"/>
  <c r="BG30" i="41"/>
  <c r="DA29" i="41"/>
  <c r="CY29" i="41"/>
  <c r="CW29" i="41"/>
  <c r="CU29" i="41"/>
  <c r="CS29" i="41"/>
  <c r="CQ29" i="41"/>
  <c r="CO29" i="41"/>
  <c r="CM29" i="41"/>
  <c r="CK29" i="41"/>
  <c r="CI29" i="41"/>
  <c r="CG29" i="41"/>
  <c r="CE29" i="41"/>
  <c r="CC29" i="41"/>
  <c r="CA29" i="41"/>
  <c r="BY29" i="41"/>
  <c r="BW29" i="41"/>
  <c r="BU29" i="41"/>
  <c r="BS29" i="41"/>
  <c r="BQ29" i="41"/>
  <c r="BO29" i="41"/>
  <c r="BM29" i="41"/>
  <c r="BK29" i="41"/>
  <c r="BI29" i="41"/>
  <c r="BG29" i="41"/>
  <c r="DA28" i="41"/>
  <c r="CY28" i="41"/>
  <c r="CW28" i="41"/>
  <c r="CU28" i="41"/>
  <c r="CS28" i="41"/>
  <c r="CQ28" i="41"/>
  <c r="CO28" i="41"/>
  <c r="CM28" i="41"/>
  <c r="CK28" i="41"/>
  <c r="CI28" i="41"/>
  <c r="CG28" i="41"/>
  <c r="CE28" i="41"/>
  <c r="CC28" i="41"/>
  <c r="CA28" i="41"/>
  <c r="BY28" i="41"/>
  <c r="BW28" i="41"/>
  <c r="BU28" i="41"/>
  <c r="BS28" i="41"/>
  <c r="BQ28" i="41"/>
  <c r="BO28" i="41"/>
  <c r="BM28" i="41"/>
  <c r="BK28" i="41"/>
  <c r="BI28" i="41"/>
  <c r="BG28" i="41"/>
  <c r="DA27" i="41"/>
  <c r="CY27" i="41"/>
  <c r="CW27" i="41"/>
  <c r="CU27" i="41"/>
  <c r="CS27" i="41"/>
  <c r="CQ27" i="41"/>
  <c r="CO27" i="41"/>
  <c r="CM27" i="41"/>
  <c r="CK27" i="41"/>
  <c r="CI27" i="41"/>
  <c r="CG27" i="41"/>
  <c r="CE27" i="41"/>
  <c r="CC27" i="41"/>
  <c r="CA27" i="41"/>
  <c r="BY27" i="41"/>
  <c r="BW27" i="41"/>
  <c r="BU27" i="41"/>
  <c r="BS27" i="41"/>
  <c r="BQ27" i="41"/>
  <c r="BO27" i="41"/>
  <c r="BM27" i="41"/>
  <c r="BK27" i="41"/>
  <c r="BI27" i="41"/>
  <c r="BG27" i="41"/>
  <c r="DA26" i="41"/>
  <c r="CY26" i="41"/>
  <c r="CW26" i="41"/>
  <c r="CU26" i="41"/>
  <c r="CS26" i="41"/>
  <c r="CQ26" i="41"/>
  <c r="CO26" i="41"/>
  <c r="CM26" i="41"/>
  <c r="CK26" i="41"/>
  <c r="CI26" i="41"/>
  <c r="CG26" i="41"/>
  <c r="CE26" i="41"/>
  <c r="CC26" i="41"/>
  <c r="CA26" i="41"/>
  <c r="BY26" i="41"/>
  <c r="BW26" i="41"/>
  <c r="BU26" i="41"/>
  <c r="BS26" i="41"/>
  <c r="BQ26" i="41"/>
  <c r="BO26" i="41"/>
  <c r="BM26" i="41"/>
  <c r="BK26" i="41"/>
  <c r="BI26" i="41"/>
  <c r="BG26" i="41"/>
  <c r="DA23" i="41"/>
  <c r="CY23" i="41"/>
  <c r="CW23" i="41"/>
  <c r="CU23" i="41"/>
  <c r="CS23" i="41"/>
  <c r="CQ23" i="41"/>
  <c r="CO23" i="41"/>
  <c r="CM23" i="41"/>
  <c r="CK23" i="41"/>
  <c r="CI23" i="41"/>
  <c r="CG23" i="41"/>
  <c r="CE23" i="41"/>
  <c r="CC23" i="41"/>
  <c r="CA23" i="41"/>
  <c r="BY23" i="41"/>
  <c r="BW23" i="41"/>
  <c r="BU23" i="41"/>
  <c r="BS23" i="41"/>
  <c r="BQ23" i="41"/>
  <c r="BO23" i="41"/>
  <c r="BM23" i="41"/>
  <c r="BK23" i="41"/>
  <c r="BI23" i="41"/>
  <c r="DA22" i="41"/>
  <c r="CY22" i="41"/>
  <c r="CW22" i="41"/>
  <c r="CU22" i="41"/>
  <c r="CS22" i="41"/>
  <c r="CQ22" i="41"/>
  <c r="CO22" i="41"/>
  <c r="CM22" i="41"/>
  <c r="CK22" i="41"/>
  <c r="CI22" i="41"/>
  <c r="CG22" i="41"/>
  <c r="CE22" i="41"/>
  <c r="CC22" i="41"/>
  <c r="CA22" i="41"/>
  <c r="BY22" i="41"/>
  <c r="BW22" i="41"/>
  <c r="BU22" i="41"/>
  <c r="BS22" i="41"/>
  <c r="BQ22" i="41"/>
  <c r="BO22" i="41"/>
  <c r="BM22" i="41"/>
  <c r="BK22" i="41"/>
  <c r="BI22" i="41"/>
  <c r="DA21" i="41"/>
  <c r="CY21" i="41"/>
  <c r="CW21" i="41"/>
  <c r="CU21" i="41"/>
  <c r="CS21" i="41"/>
  <c r="CQ21" i="41"/>
  <c r="CO21" i="41"/>
  <c r="CM21" i="41"/>
  <c r="CK21" i="41"/>
  <c r="CI21" i="41"/>
  <c r="CG21" i="41"/>
  <c r="CE21" i="41"/>
  <c r="CC21" i="41"/>
  <c r="CA21" i="41"/>
  <c r="BY21" i="41"/>
  <c r="BW21" i="41"/>
  <c r="BU21" i="41"/>
  <c r="BS21" i="41"/>
  <c r="BQ21" i="41"/>
  <c r="BO21" i="41"/>
  <c r="BM21" i="41"/>
  <c r="BK21" i="41"/>
  <c r="BI21" i="41"/>
  <c r="DA19" i="41"/>
  <c r="CY19" i="41"/>
  <c r="CW19" i="41"/>
  <c r="CU19" i="41"/>
  <c r="CS19" i="41"/>
  <c r="CQ19" i="41"/>
  <c r="CO19" i="41"/>
  <c r="CM19" i="41"/>
  <c r="CK19" i="41"/>
  <c r="CI19" i="41"/>
  <c r="CG19" i="41"/>
  <c r="CE19" i="41"/>
  <c r="CC19" i="41"/>
  <c r="CA19" i="41"/>
  <c r="BY19" i="41"/>
  <c r="BW19" i="41"/>
  <c r="BU19" i="41"/>
  <c r="BS19" i="41"/>
  <c r="BQ19" i="41"/>
  <c r="BO19" i="41"/>
  <c r="BM19" i="41"/>
  <c r="BK19" i="41"/>
  <c r="BI19" i="41"/>
  <c r="DA18" i="41"/>
  <c r="CY18" i="41"/>
  <c r="CW18" i="41"/>
  <c r="CU18" i="41"/>
  <c r="CS18" i="41"/>
  <c r="CQ18" i="41"/>
  <c r="CO18" i="41"/>
  <c r="CM18" i="41"/>
  <c r="CK18" i="41"/>
  <c r="CI18" i="41"/>
  <c r="CG18" i="41"/>
  <c r="CE18" i="41"/>
  <c r="CC18" i="41"/>
  <c r="CA18" i="41"/>
  <c r="BY18" i="41"/>
  <c r="BW18" i="41"/>
  <c r="BU18" i="41"/>
  <c r="BS18" i="41"/>
  <c r="BQ18" i="41"/>
  <c r="BO18" i="41"/>
  <c r="BM18" i="41"/>
  <c r="BK18" i="41"/>
  <c r="BI18" i="41"/>
  <c r="DA17" i="41"/>
  <c r="CY17" i="41"/>
  <c r="CW17" i="41"/>
  <c r="CU17" i="41"/>
  <c r="CS17" i="41"/>
  <c r="CQ17" i="41"/>
  <c r="CO17" i="41"/>
  <c r="CM17" i="41"/>
  <c r="CK17" i="41"/>
  <c r="CI17" i="41"/>
  <c r="CG17" i="41"/>
  <c r="CE17" i="41"/>
  <c r="CC17" i="41"/>
  <c r="CA17" i="41"/>
  <c r="BY17" i="41"/>
  <c r="BW17" i="41"/>
  <c r="BU17" i="41"/>
  <c r="BS17" i="41"/>
  <c r="BQ17" i="41"/>
  <c r="BO17" i="41"/>
  <c r="BM17" i="41"/>
  <c r="BK17" i="41"/>
  <c r="BI17" i="41"/>
  <c r="DA16" i="41"/>
  <c r="CY16" i="41"/>
  <c r="CW16" i="41"/>
  <c r="CU16" i="41"/>
  <c r="CS16" i="41"/>
  <c r="CQ16" i="41"/>
  <c r="CO16" i="41"/>
  <c r="CM16" i="41"/>
  <c r="CK16" i="41"/>
  <c r="CI16" i="41"/>
  <c r="CG16" i="41"/>
  <c r="CE16" i="41"/>
  <c r="CC16" i="41"/>
  <c r="CA16" i="41"/>
  <c r="BY16" i="41"/>
  <c r="BW16" i="41"/>
  <c r="BU16" i="41"/>
  <c r="BS16" i="41"/>
  <c r="BQ16" i="41"/>
  <c r="BO16" i="41"/>
  <c r="BM16" i="41"/>
  <c r="BK16" i="41"/>
  <c r="BI16" i="41"/>
  <c r="DA15" i="41"/>
  <c r="CY15" i="41"/>
  <c r="CW15" i="41"/>
  <c r="CU15" i="41"/>
  <c r="CS15" i="41"/>
  <c r="CQ15" i="41"/>
  <c r="CO15" i="41"/>
  <c r="CM15" i="41"/>
  <c r="CK15" i="41"/>
  <c r="CI15" i="41"/>
  <c r="CG15" i="41"/>
  <c r="CE15" i="41"/>
  <c r="CC15" i="41"/>
  <c r="CA15" i="41"/>
  <c r="BY15" i="41"/>
  <c r="BW15" i="41"/>
  <c r="BU15" i="41"/>
  <c r="BS15" i="41"/>
  <c r="BQ15" i="41"/>
  <c r="BO15" i="41"/>
  <c r="BM15" i="41"/>
  <c r="BK15" i="41"/>
  <c r="BI15" i="41"/>
  <c r="DA14" i="41"/>
  <c r="CY14" i="41"/>
  <c r="CW14" i="41"/>
  <c r="CU14" i="41"/>
  <c r="CS14" i="41"/>
  <c r="CQ14" i="41"/>
  <c r="CO14" i="41"/>
  <c r="CM14" i="41"/>
  <c r="CK14" i="41"/>
  <c r="CI14" i="41"/>
  <c r="CG14" i="41"/>
  <c r="CE14" i="41"/>
  <c r="CC14" i="41"/>
  <c r="CA14" i="41"/>
  <c r="BY14" i="41"/>
  <c r="BW14" i="41"/>
  <c r="BU14" i="41"/>
  <c r="BS14" i="41"/>
  <c r="BQ14" i="41"/>
  <c r="BO14" i="41"/>
  <c r="BM14" i="41"/>
  <c r="BK14" i="41"/>
  <c r="BI14" i="41"/>
  <c r="DA13" i="41"/>
  <c r="CY13" i="41"/>
  <c r="CW13" i="41"/>
  <c r="CU13" i="41"/>
  <c r="CS13" i="41"/>
  <c r="CQ13" i="41"/>
  <c r="CO13" i="41"/>
  <c r="CM13" i="41"/>
  <c r="CK13" i="41"/>
  <c r="CI13" i="41"/>
  <c r="CG13" i="41"/>
  <c r="CE13" i="41"/>
  <c r="CC13" i="41"/>
  <c r="CA13" i="41"/>
  <c r="BY13" i="41"/>
  <c r="BW13" i="41"/>
  <c r="BU13" i="41"/>
  <c r="BS13" i="41"/>
  <c r="BQ13" i="41"/>
  <c r="BO13" i="41"/>
  <c r="BM13" i="41"/>
  <c r="BK13" i="41"/>
  <c r="BI13" i="41"/>
  <c r="DA12" i="41"/>
  <c r="CY12" i="41"/>
  <c r="CW12" i="41"/>
  <c r="CU12" i="41"/>
  <c r="CS12" i="41"/>
  <c r="CQ12" i="41"/>
  <c r="CO12" i="41"/>
  <c r="CM12" i="41"/>
  <c r="CK12" i="41"/>
  <c r="CI12" i="41"/>
  <c r="CG12" i="41"/>
  <c r="CE12" i="41"/>
  <c r="CC12" i="41"/>
  <c r="CA12" i="41"/>
  <c r="BY12" i="41"/>
  <c r="BW12" i="41"/>
  <c r="BU12" i="41"/>
  <c r="BS12" i="41"/>
  <c r="BQ12" i="41"/>
  <c r="BO12" i="41"/>
  <c r="BM12" i="41"/>
  <c r="BK12" i="41"/>
  <c r="BI12" i="41"/>
  <c r="DA10" i="41"/>
  <c r="CY10" i="41"/>
  <c r="CW10" i="41"/>
  <c r="CU10" i="41"/>
  <c r="CS10" i="41"/>
  <c r="CQ10" i="41"/>
  <c r="CO10" i="41"/>
  <c r="CM10" i="41"/>
  <c r="CK10" i="41"/>
  <c r="CI10" i="41"/>
  <c r="CG10" i="41"/>
  <c r="CE10" i="41"/>
  <c r="CC10" i="41"/>
  <c r="CA10" i="41"/>
  <c r="BY10" i="41"/>
  <c r="BW10" i="41"/>
  <c r="BU10" i="41"/>
  <c r="BS10" i="41"/>
  <c r="BQ10" i="41"/>
  <c r="BO10" i="41"/>
  <c r="BM10" i="41"/>
  <c r="BK10" i="41"/>
  <c r="BI10" i="41"/>
  <c r="DA9" i="41"/>
  <c r="CY9" i="41"/>
  <c r="CW9" i="41"/>
  <c r="CU9" i="41"/>
  <c r="CS9" i="41"/>
  <c r="CQ9" i="41"/>
  <c r="CO9" i="41"/>
  <c r="CM9" i="41"/>
  <c r="CK9" i="41"/>
  <c r="CI9" i="41"/>
  <c r="CG9" i="41"/>
  <c r="CE9" i="41"/>
  <c r="CC9" i="41"/>
  <c r="CA9" i="41"/>
  <c r="BY9" i="41"/>
  <c r="BW9" i="41"/>
  <c r="BU9" i="41"/>
  <c r="BS9" i="41"/>
  <c r="BQ9" i="41"/>
  <c r="BO9" i="41"/>
  <c r="BM9" i="41"/>
  <c r="BK9" i="41"/>
  <c r="BI9" i="41"/>
  <c r="DA8" i="41"/>
  <c r="CY8" i="41"/>
  <c r="CW8" i="41"/>
  <c r="CU8" i="41"/>
  <c r="CS8" i="41"/>
  <c r="CQ8" i="41"/>
  <c r="CO8" i="41"/>
  <c r="CM8" i="41"/>
  <c r="CK8" i="41"/>
  <c r="CI8" i="41"/>
  <c r="CG8" i="41"/>
  <c r="CE8" i="41"/>
  <c r="CC8" i="41"/>
  <c r="CA8" i="41"/>
  <c r="BY8" i="41"/>
  <c r="BW8" i="41"/>
  <c r="BU8" i="41"/>
  <c r="BS8" i="41"/>
  <c r="BQ8" i="41"/>
  <c r="BO8" i="41"/>
  <c r="BM8" i="41"/>
  <c r="BK8" i="41"/>
  <c r="BI8" i="41"/>
  <c r="DA53" i="47"/>
  <c r="CE53" i="47"/>
  <c r="CC53" i="47"/>
  <c r="CA53" i="47"/>
  <c r="BY53" i="47"/>
  <c r="BW53" i="47"/>
  <c r="BU53" i="47"/>
  <c r="BS53" i="47"/>
  <c r="BQ53" i="47"/>
  <c r="BO53" i="47"/>
  <c r="BM53" i="47"/>
  <c r="BK53" i="47"/>
  <c r="BI53" i="47"/>
  <c r="BG53" i="47"/>
  <c r="DA52" i="47"/>
  <c r="CS52" i="47"/>
  <c r="CQ52" i="47"/>
  <c r="CO52" i="47"/>
  <c r="CM52" i="47"/>
  <c r="CK52" i="47"/>
  <c r="CI52" i="47"/>
  <c r="CG52" i="47"/>
  <c r="CE52" i="47"/>
  <c r="CC52" i="47"/>
  <c r="CA52" i="47"/>
  <c r="BY52" i="47"/>
  <c r="BW52" i="47"/>
  <c r="BU52" i="47"/>
  <c r="BS52" i="47"/>
  <c r="BQ52" i="47"/>
  <c r="BO52" i="47"/>
  <c r="BM52" i="47"/>
  <c r="BK52" i="47"/>
  <c r="BI52" i="47"/>
  <c r="BG52" i="47"/>
  <c r="DA51" i="47"/>
  <c r="CS51" i="47"/>
  <c r="CS53" i="47" s="1"/>
  <c r="CQ51" i="47"/>
  <c r="CQ53" i="47"/>
  <c r="CO51" i="47"/>
  <c r="CO53" i="47"/>
  <c r="CM51" i="47"/>
  <c r="CM53" i="47"/>
  <c r="CK51" i="47"/>
  <c r="CK53" i="47"/>
  <c r="CI51" i="47"/>
  <c r="CI53" i="47"/>
  <c r="CG51" i="47"/>
  <c r="CG53" i="47"/>
  <c r="CE51" i="47"/>
  <c r="CC51" i="47"/>
  <c r="CA51" i="47"/>
  <c r="BY51" i="47"/>
  <c r="BW51" i="47"/>
  <c r="BU51" i="47"/>
  <c r="BS51" i="47"/>
  <c r="BQ51" i="47"/>
  <c r="BO51" i="47"/>
  <c r="BM51" i="47"/>
  <c r="BK51" i="47"/>
  <c r="BI51" i="47"/>
  <c r="BG51" i="47"/>
  <c r="DA50" i="47"/>
  <c r="CS50" i="47"/>
  <c r="CQ50" i="47"/>
  <c r="CO50" i="47"/>
  <c r="CM50" i="47"/>
  <c r="CK50" i="47"/>
  <c r="CI50" i="47"/>
  <c r="CE50" i="47"/>
  <c r="CC50" i="47"/>
  <c r="CA50" i="47"/>
  <c r="BY50" i="47"/>
  <c r="BW50" i="47"/>
  <c r="BU50" i="47"/>
  <c r="BS50" i="47"/>
  <c r="BQ50" i="47"/>
  <c r="BO50" i="47"/>
  <c r="BM50" i="47"/>
  <c r="BK50" i="47"/>
  <c r="BI50" i="47"/>
  <c r="BG50" i="47"/>
  <c r="DA49" i="47"/>
  <c r="CY49" i="47"/>
  <c r="CW49" i="47"/>
  <c r="CU49" i="47"/>
  <c r="CS49" i="47"/>
  <c r="CQ49" i="47"/>
  <c r="CO49" i="47"/>
  <c r="CM49" i="47"/>
  <c r="CK49" i="47"/>
  <c r="CI49" i="47"/>
  <c r="CG49" i="47"/>
  <c r="CE49" i="47"/>
  <c r="CC49" i="47"/>
  <c r="CA49" i="47"/>
  <c r="BY49" i="47"/>
  <c r="BW49" i="47"/>
  <c r="BU49" i="47"/>
  <c r="BS49" i="47"/>
  <c r="BQ49" i="47"/>
  <c r="BO49" i="47"/>
  <c r="BM49" i="47"/>
  <c r="BK49" i="47"/>
  <c r="BI49" i="47"/>
  <c r="BG49" i="47"/>
  <c r="DA48" i="47"/>
  <c r="CY48" i="47"/>
  <c r="CS48" i="47"/>
  <c r="CQ48" i="47"/>
  <c r="CO48" i="47"/>
  <c r="CM48" i="47"/>
  <c r="CK48" i="47"/>
  <c r="CI48" i="47"/>
  <c r="CE48" i="47"/>
  <c r="CC48" i="47"/>
  <c r="CA48" i="47"/>
  <c r="BY48" i="47"/>
  <c r="BW48" i="47"/>
  <c r="BU48" i="47"/>
  <c r="BS48" i="47"/>
  <c r="BQ48" i="47"/>
  <c r="BO48" i="47"/>
  <c r="BM48" i="47"/>
  <c r="BK48" i="47"/>
  <c r="BI48" i="47"/>
  <c r="BG48" i="47"/>
  <c r="DA47" i="47"/>
  <c r="CS47" i="47"/>
  <c r="CQ47" i="47"/>
  <c r="CO47" i="47"/>
  <c r="CM47" i="47"/>
  <c r="CK47" i="47"/>
  <c r="CI47" i="47"/>
  <c r="CE47" i="47"/>
  <c r="CC47" i="47"/>
  <c r="CA47" i="47"/>
  <c r="BY47" i="47"/>
  <c r="BW47" i="47"/>
  <c r="BU47" i="47"/>
  <c r="BS47" i="47"/>
  <c r="BQ47" i="47"/>
  <c r="BO47" i="47"/>
  <c r="BM47" i="47"/>
  <c r="BK47" i="47"/>
  <c r="BI47" i="47"/>
  <c r="BG47" i="47"/>
  <c r="DA46" i="47"/>
  <c r="CY46" i="47"/>
  <c r="CS46" i="47"/>
  <c r="CQ46" i="47"/>
  <c r="CO46" i="47"/>
  <c r="CM46" i="47"/>
  <c r="CK46" i="47"/>
  <c r="CI46" i="47"/>
  <c r="CE46" i="47"/>
  <c r="CC46" i="47"/>
  <c r="CA46" i="47"/>
  <c r="BY46" i="47"/>
  <c r="BW46" i="47"/>
  <c r="BU46" i="47"/>
  <c r="BS46" i="47"/>
  <c r="BQ46" i="47"/>
  <c r="BO46" i="47"/>
  <c r="BM46" i="47"/>
  <c r="BK46" i="47"/>
  <c r="BI46" i="47"/>
  <c r="BG46" i="47"/>
  <c r="DA45" i="47"/>
  <c r="CS45" i="47"/>
  <c r="CQ45" i="47"/>
  <c r="CO45" i="47"/>
  <c r="CM45" i="47"/>
  <c r="CK45" i="47"/>
  <c r="CI45" i="47"/>
  <c r="CG45" i="47"/>
  <c r="CE45" i="47"/>
  <c r="CC45" i="47"/>
  <c r="CA45" i="47"/>
  <c r="BY45" i="47"/>
  <c r="BW45" i="47"/>
  <c r="BU45" i="47"/>
  <c r="BS45" i="47"/>
  <c r="BQ45" i="47"/>
  <c r="BO45" i="47"/>
  <c r="BM45" i="47"/>
  <c r="BK45" i="47"/>
  <c r="BI45" i="47"/>
  <c r="BG45" i="47"/>
  <c r="DA44" i="47"/>
  <c r="CE44" i="47"/>
  <c r="CC44" i="47"/>
  <c r="CA44" i="47"/>
  <c r="BY44" i="47"/>
  <c r="BW44" i="47"/>
  <c r="BU44" i="47"/>
  <c r="BS44" i="47"/>
  <c r="BQ44" i="47"/>
  <c r="BO44" i="47"/>
  <c r="BM44" i="47"/>
  <c r="BK44" i="47"/>
  <c r="BI44" i="47"/>
  <c r="BG44" i="47"/>
  <c r="DA43" i="47"/>
  <c r="CY43" i="47"/>
  <c r="CW43" i="47"/>
  <c r="CU43" i="47"/>
  <c r="CS43" i="47"/>
  <c r="CQ43" i="47"/>
  <c r="CO43" i="47"/>
  <c r="CM43" i="47"/>
  <c r="CK43" i="47"/>
  <c r="CI43" i="47"/>
  <c r="CG43" i="47"/>
  <c r="CE43" i="47"/>
  <c r="CC43" i="47"/>
  <c r="CA43" i="47"/>
  <c r="BY43" i="47"/>
  <c r="BW43" i="47"/>
  <c r="BU43" i="47"/>
  <c r="BS43" i="47"/>
  <c r="BQ43" i="47"/>
  <c r="BO43" i="47"/>
  <c r="BM43" i="47"/>
  <c r="BK43" i="47"/>
  <c r="BI43" i="47"/>
  <c r="BG43" i="47"/>
  <c r="DA42" i="47"/>
  <c r="CS42" i="47"/>
  <c r="CS44" i="47" s="1"/>
  <c r="CQ42" i="47"/>
  <c r="CQ44" i="47"/>
  <c r="CO42" i="47"/>
  <c r="CO44" i="47"/>
  <c r="CM42" i="47"/>
  <c r="CM44" i="47"/>
  <c r="CK42" i="47"/>
  <c r="CK44" i="47"/>
  <c r="CI42" i="47"/>
  <c r="CI44" i="47"/>
  <c r="CG42" i="47"/>
  <c r="CG44" i="47"/>
  <c r="CE42" i="47"/>
  <c r="CC42" i="47"/>
  <c r="CA42" i="47"/>
  <c r="BY42" i="47"/>
  <c r="BW42" i="47"/>
  <c r="BU42" i="47"/>
  <c r="BS42" i="47"/>
  <c r="BQ42" i="47"/>
  <c r="BO42" i="47"/>
  <c r="BM42" i="47"/>
  <c r="BK42" i="47"/>
  <c r="BI42" i="47"/>
  <c r="BG42" i="47"/>
  <c r="DA38" i="47"/>
  <c r="CY38" i="47"/>
  <c r="CW38" i="47"/>
  <c r="CU38" i="47"/>
  <c r="CS38" i="47"/>
  <c r="CQ38" i="47"/>
  <c r="CO38" i="47"/>
  <c r="CM38" i="47"/>
  <c r="CK38" i="47"/>
  <c r="CI38" i="47"/>
  <c r="CG38" i="47"/>
  <c r="CE38" i="47"/>
  <c r="CC38" i="47"/>
  <c r="CA38" i="47"/>
  <c r="BY38" i="47"/>
  <c r="BW38" i="47"/>
  <c r="BU38" i="47"/>
  <c r="BS38" i="47"/>
  <c r="BQ38" i="47"/>
  <c r="BO38" i="47"/>
  <c r="BM38" i="47"/>
  <c r="BK38" i="47"/>
  <c r="BI38" i="47"/>
  <c r="DA37" i="47"/>
  <c r="CY37" i="47"/>
  <c r="CW37" i="47"/>
  <c r="CU37" i="47"/>
  <c r="CS37" i="47"/>
  <c r="CQ37" i="47"/>
  <c r="CO37" i="47"/>
  <c r="CM37" i="47"/>
  <c r="CK37" i="47"/>
  <c r="CI37" i="47"/>
  <c r="CG37" i="47"/>
  <c r="CE37" i="47"/>
  <c r="CC37" i="47"/>
  <c r="CA37" i="47"/>
  <c r="BY37" i="47"/>
  <c r="BW37" i="47"/>
  <c r="BU37" i="47"/>
  <c r="BS37" i="47"/>
  <c r="BQ37" i="47"/>
  <c r="BO37" i="47"/>
  <c r="BM37" i="47"/>
  <c r="BK37" i="47"/>
  <c r="BI37" i="47"/>
  <c r="DA36" i="47"/>
  <c r="CY36" i="47"/>
  <c r="CW36" i="47"/>
  <c r="CU36" i="47"/>
  <c r="CS36" i="47"/>
  <c r="CQ36" i="47"/>
  <c r="CO36" i="47"/>
  <c r="CM36" i="47"/>
  <c r="CK36" i="47"/>
  <c r="CI36" i="47"/>
  <c r="CG36" i="47"/>
  <c r="CE36" i="47"/>
  <c r="CC36" i="47"/>
  <c r="CA36" i="47"/>
  <c r="BY36" i="47"/>
  <c r="BW36" i="47"/>
  <c r="BU36" i="47"/>
  <c r="BS36" i="47"/>
  <c r="BQ36" i="47"/>
  <c r="BO36" i="47"/>
  <c r="BM36" i="47"/>
  <c r="BK36" i="47"/>
  <c r="BI36" i="47"/>
  <c r="DA35" i="47"/>
  <c r="CY35" i="47"/>
  <c r="CW35" i="47"/>
  <c r="CU35" i="47"/>
  <c r="CS35" i="47"/>
  <c r="CQ35" i="47"/>
  <c r="CO35" i="47"/>
  <c r="CM35" i="47"/>
  <c r="CK35" i="47"/>
  <c r="CI35" i="47"/>
  <c r="CG35" i="47"/>
  <c r="CE35" i="47"/>
  <c r="CC35" i="47"/>
  <c r="CA35" i="47"/>
  <c r="BY35" i="47"/>
  <c r="BW35" i="47"/>
  <c r="BU35" i="47"/>
  <c r="BS35" i="47"/>
  <c r="BQ35" i="47"/>
  <c r="BO35" i="47"/>
  <c r="BM35" i="47"/>
  <c r="BK35" i="47"/>
  <c r="BI35" i="47"/>
  <c r="CY34" i="47"/>
  <c r="CS34" i="47"/>
  <c r="CQ34" i="47"/>
  <c r="CO34" i="47"/>
  <c r="CM34" i="47"/>
  <c r="CK34" i="47"/>
  <c r="CI34" i="47"/>
  <c r="CG34" i="47"/>
  <c r="CE34" i="47"/>
  <c r="CC34" i="47"/>
  <c r="CA34" i="47"/>
  <c r="BY34" i="47"/>
  <c r="BW34" i="47"/>
  <c r="BU34" i="47"/>
  <c r="BS34" i="47"/>
  <c r="BQ34" i="47"/>
  <c r="BO34" i="47"/>
  <c r="BM34" i="47"/>
  <c r="BK34" i="47"/>
  <c r="BI34" i="47"/>
  <c r="DA33" i="47"/>
  <c r="CY33" i="47"/>
  <c r="CW33" i="47"/>
  <c r="CU33" i="47"/>
  <c r="CS33" i="47"/>
  <c r="CQ33" i="47"/>
  <c r="CO33" i="47"/>
  <c r="CM33" i="47"/>
  <c r="CK33" i="47"/>
  <c r="CI33" i="47"/>
  <c r="CG33" i="47"/>
  <c r="CE33" i="47"/>
  <c r="CC33" i="47"/>
  <c r="CA33" i="47"/>
  <c r="BY33" i="47"/>
  <c r="BW33" i="47"/>
  <c r="BU33" i="47"/>
  <c r="BS33" i="47"/>
  <c r="BQ33" i="47"/>
  <c r="BO33" i="47"/>
  <c r="BM33" i="47"/>
  <c r="BK33" i="47"/>
  <c r="BI33" i="47"/>
  <c r="DA32" i="47"/>
  <c r="CY32" i="47"/>
  <c r="CW32" i="47"/>
  <c r="CU32" i="47"/>
  <c r="CS32" i="47"/>
  <c r="CQ32" i="47"/>
  <c r="CO32" i="47"/>
  <c r="CM32" i="47"/>
  <c r="CK32" i="47"/>
  <c r="CI32" i="47"/>
  <c r="CG32" i="47"/>
  <c r="CE32" i="47"/>
  <c r="CC32" i="47"/>
  <c r="CA32" i="47"/>
  <c r="BY32" i="47"/>
  <c r="BW32" i="47"/>
  <c r="BU32" i="47"/>
  <c r="BS32" i="47"/>
  <c r="BQ32" i="47"/>
  <c r="BO32" i="47"/>
  <c r="BM32" i="47"/>
  <c r="BK32" i="47"/>
  <c r="BI32" i="47"/>
  <c r="DA31" i="47"/>
  <c r="CU31" i="47"/>
  <c r="CS31" i="47"/>
  <c r="CQ31" i="47"/>
  <c r="CO31" i="47"/>
  <c r="CM31" i="47"/>
  <c r="CK31" i="47"/>
  <c r="CI31" i="47"/>
  <c r="CG31" i="47"/>
  <c r="CE31" i="47"/>
  <c r="CC31" i="47"/>
  <c r="CA31" i="47"/>
  <c r="BY31" i="47"/>
  <c r="BW31" i="47"/>
  <c r="BU31" i="47"/>
  <c r="BS31" i="47"/>
  <c r="BQ31" i="47"/>
  <c r="BO31" i="47"/>
  <c r="BM31" i="47"/>
  <c r="BK31" i="47"/>
  <c r="BI31" i="47"/>
  <c r="CW30" i="47"/>
  <c r="CS30" i="47"/>
  <c r="CQ30" i="47"/>
  <c r="CO30" i="47"/>
  <c r="CM30" i="47"/>
  <c r="CK30" i="47"/>
  <c r="CI30" i="47"/>
  <c r="CG30" i="47"/>
  <c r="CE30" i="47"/>
  <c r="CC30" i="47"/>
  <c r="CA30" i="47"/>
  <c r="BY30" i="47"/>
  <c r="BW30" i="47"/>
  <c r="BU30" i="47"/>
  <c r="BS30" i="47"/>
  <c r="BQ30" i="47"/>
  <c r="BO30" i="47"/>
  <c r="BM30" i="47"/>
  <c r="BK30" i="47"/>
  <c r="BI30" i="47"/>
  <c r="DA29" i="47"/>
  <c r="CS28" i="47"/>
  <c r="CQ28" i="47"/>
  <c r="CO28" i="47"/>
  <c r="CM28" i="47"/>
  <c r="CK28" i="47"/>
  <c r="CI28" i="47"/>
  <c r="CG28" i="47"/>
  <c r="CE28" i="47"/>
  <c r="CC28" i="47"/>
  <c r="CA28" i="47"/>
  <c r="BY28" i="47"/>
  <c r="BW28" i="47"/>
  <c r="BU28" i="47"/>
  <c r="BS28" i="47"/>
  <c r="BQ28" i="47"/>
  <c r="BO28" i="47"/>
  <c r="BM28" i="47"/>
  <c r="BK28" i="47"/>
  <c r="BI28" i="47"/>
  <c r="DA27" i="47"/>
  <c r="CY27" i="47"/>
  <c r="CW27" i="47"/>
  <c r="CU27" i="47"/>
  <c r="CS27" i="47"/>
  <c r="CQ27" i="47"/>
  <c r="CO27" i="47"/>
  <c r="CM27" i="47"/>
  <c r="CK27" i="47"/>
  <c r="CI27" i="47"/>
  <c r="CG27" i="47"/>
  <c r="CE27" i="47"/>
  <c r="CC27" i="47"/>
  <c r="CA27" i="47"/>
  <c r="BY27" i="47"/>
  <c r="BW27" i="47"/>
  <c r="BU27" i="47"/>
  <c r="BS27" i="47"/>
  <c r="BQ27" i="47"/>
  <c r="BO27" i="47"/>
  <c r="BM27" i="47"/>
  <c r="BK27" i="47"/>
  <c r="BI27" i="47"/>
  <c r="CS26" i="47"/>
  <c r="CQ26" i="47"/>
  <c r="CO26" i="47"/>
  <c r="CM26" i="47"/>
  <c r="CK26" i="47"/>
  <c r="CI26" i="47"/>
  <c r="CG26" i="47"/>
  <c r="CE26" i="47"/>
  <c r="CC26" i="47"/>
  <c r="CA26" i="47"/>
  <c r="BY26" i="47"/>
  <c r="BW26" i="47"/>
  <c r="BU26" i="47"/>
  <c r="BS26" i="47"/>
  <c r="BQ26" i="47"/>
  <c r="BO26" i="47"/>
  <c r="BM26" i="47"/>
  <c r="BK26" i="47"/>
  <c r="BI26" i="47"/>
  <c r="DA25" i="47"/>
  <c r="CY25" i="47"/>
  <c r="CW25" i="47"/>
  <c r="CU25" i="47"/>
  <c r="CS25" i="47"/>
  <c r="CQ25" i="47"/>
  <c r="CO25" i="47"/>
  <c r="CM25" i="47"/>
  <c r="CK25" i="47"/>
  <c r="CI25" i="47"/>
  <c r="CG25" i="47"/>
  <c r="CE25" i="47"/>
  <c r="CC25" i="47"/>
  <c r="CA25" i="47"/>
  <c r="BY25" i="47"/>
  <c r="BW25" i="47"/>
  <c r="BU25" i="47"/>
  <c r="BS25" i="47"/>
  <c r="BQ25" i="47"/>
  <c r="BO25" i="47"/>
  <c r="BM25" i="47"/>
  <c r="BK25" i="47"/>
  <c r="BI25" i="47"/>
  <c r="DA24" i="47"/>
  <c r="CY24" i="47"/>
  <c r="CW24" i="47"/>
  <c r="CU24" i="47"/>
  <c r="CS24" i="47"/>
  <c r="CQ24" i="47"/>
  <c r="CO24" i="47"/>
  <c r="CM24" i="47"/>
  <c r="CK24" i="47"/>
  <c r="CI24" i="47"/>
  <c r="CG24" i="47"/>
  <c r="CE24" i="47"/>
  <c r="CC24" i="47"/>
  <c r="CA24" i="47"/>
  <c r="BY24" i="47"/>
  <c r="BW24" i="47"/>
  <c r="BU24" i="47"/>
  <c r="BS24" i="47"/>
  <c r="BQ24" i="47"/>
  <c r="BO24" i="47"/>
  <c r="BM24" i="47"/>
  <c r="BK24" i="47"/>
  <c r="BI24" i="47"/>
  <c r="DA23" i="47"/>
  <c r="CY23" i="47"/>
  <c r="CW23" i="47"/>
  <c r="CU23" i="47"/>
  <c r="CS23" i="47"/>
  <c r="CQ23" i="47"/>
  <c r="CO23" i="47"/>
  <c r="CM23" i="47"/>
  <c r="CK23" i="47"/>
  <c r="CI23" i="47"/>
  <c r="CG23" i="47"/>
  <c r="CE23" i="47"/>
  <c r="CC23" i="47"/>
  <c r="CA23" i="47"/>
  <c r="BY23" i="47"/>
  <c r="BW23" i="47"/>
  <c r="BU23" i="47"/>
  <c r="BS23" i="47"/>
  <c r="BQ23" i="47"/>
  <c r="BO23" i="47"/>
  <c r="BM23" i="47"/>
  <c r="BK23" i="47"/>
  <c r="BI23" i="47"/>
  <c r="DA22" i="47"/>
  <c r="CY22" i="47"/>
  <c r="CW22" i="47"/>
  <c r="CU22" i="47"/>
  <c r="CS22" i="47"/>
  <c r="CQ22" i="47"/>
  <c r="CO22" i="47"/>
  <c r="CM22" i="47"/>
  <c r="CK22" i="47"/>
  <c r="CI22" i="47"/>
  <c r="CG22" i="47"/>
  <c r="CE22" i="47"/>
  <c r="CC22" i="47"/>
  <c r="CA22" i="47"/>
  <c r="BY22" i="47"/>
  <c r="BW22" i="47"/>
  <c r="BU22" i="47"/>
  <c r="BS22" i="47"/>
  <c r="BQ22" i="47"/>
  <c r="BO22" i="47"/>
  <c r="BM22" i="47"/>
  <c r="BK22" i="47"/>
  <c r="BI22" i="47"/>
  <c r="DA21" i="47"/>
  <c r="CY21" i="47"/>
  <c r="CW21" i="47"/>
  <c r="CU21" i="47"/>
  <c r="CS21" i="47"/>
  <c r="CQ21" i="47"/>
  <c r="CO21" i="47"/>
  <c r="CM21" i="47"/>
  <c r="CK21" i="47"/>
  <c r="CI21" i="47"/>
  <c r="CG21" i="47"/>
  <c r="CE21" i="47"/>
  <c r="CC21" i="47"/>
  <c r="CA21" i="47"/>
  <c r="BY21" i="47"/>
  <c r="BW21" i="47"/>
  <c r="BU21" i="47"/>
  <c r="BS21" i="47"/>
  <c r="BQ21" i="47"/>
  <c r="BO21" i="47"/>
  <c r="BM21" i="47"/>
  <c r="BK21" i="47"/>
  <c r="BI21" i="47"/>
  <c r="DA20" i="47"/>
  <c r="CY20" i="47"/>
  <c r="CW20" i="47"/>
  <c r="CU20" i="47"/>
  <c r="CS20" i="47"/>
  <c r="CQ20" i="47"/>
  <c r="CO20" i="47"/>
  <c r="CM20" i="47"/>
  <c r="CK20" i="47"/>
  <c r="CI20" i="47"/>
  <c r="CG20" i="47"/>
  <c r="CE20" i="47"/>
  <c r="CC20" i="47"/>
  <c r="CA20" i="47"/>
  <c r="BY20" i="47"/>
  <c r="BW20" i="47"/>
  <c r="BU20" i="47"/>
  <c r="BS20" i="47"/>
  <c r="BQ20" i="47"/>
  <c r="BO20" i="47"/>
  <c r="BM20" i="47"/>
  <c r="BK20" i="47"/>
  <c r="BI20" i="47"/>
  <c r="DA19" i="47"/>
  <c r="CY19" i="47"/>
  <c r="CW19" i="47"/>
  <c r="CU19" i="47"/>
  <c r="CS19" i="47"/>
  <c r="CQ19" i="47"/>
  <c r="CO19" i="47"/>
  <c r="CM19" i="47"/>
  <c r="CK19" i="47"/>
  <c r="CI19" i="47"/>
  <c r="CG19" i="47"/>
  <c r="CE19" i="47"/>
  <c r="CC19" i="47"/>
  <c r="CA19" i="47"/>
  <c r="BY19" i="47"/>
  <c r="BW19" i="47"/>
  <c r="BU19" i="47"/>
  <c r="BS19" i="47"/>
  <c r="BQ19" i="47"/>
  <c r="BO19" i="47"/>
  <c r="BM19" i="47"/>
  <c r="BK19" i="47"/>
  <c r="BI19" i="47"/>
  <c r="DA18" i="47"/>
  <c r="CY18" i="47"/>
  <c r="CW18" i="47"/>
  <c r="CU18" i="47"/>
  <c r="CS18" i="47"/>
  <c r="CQ18" i="47"/>
  <c r="CO18" i="47"/>
  <c r="CM18" i="47"/>
  <c r="CK18" i="47"/>
  <c r="CI18" i="47"/>
  <c r="CG18" i="47"/>
  <c r="CE18" i="47"/>
  <c r="CC18" i="47"/>
  <c r="CA18" i="47"/>
  <c r="BY18" i="47"/>
  <c r="BW18" i="47"/>
  <c r="BU18" i="47"/>
  <c r="BS18" i="47"/>
  <c r="BQ18" i="47"/>
  <c r="BO18" i="47"/>
  <c r="BM18" i="47"/>
  <c r="BK18" i="47"/>
  <c r="BI18" i="47"/>
  <c r="DA17" i="47"/>
  <c r="CY17" i="47"/>
  <c r="CW17" i="47"/>
  <c r="CU17" i="47"/>
  <c r="CS17" i="47"/>
  <c r="CQ17" i="47"/>
  <c r="CO17" i="47"/>
  <c r="CM17" i="47"/>
  <c r="CK17" i="47"/>
  <c r="CI17" i="47"/>
  <c r="CG17" i="47"/>
  <c r="CE17" i="47"/>
  <c r="CC17" i="47"/>
  <c r="CA17" i="47"/>
  <c r="BY17" i="47"/>
  <c r="BW17" i="47"/>
  <c r="BU17" i="47"/>
  <c r="BS17" i="47"/>
  <c r="BQ17" i="47"/>
  <c r="BO17" i="47"/>
  <c r="BM17" i="47"/>
  <c r="BK17" i="47"/>
  <c r="BI17" i="47"/>
  <c r="DA16" i="47"/>
  <c r="CY16" i="47"/>
  <c r="CW16" i="47"/>
  <c r="CU16" i="47"/>
  <c r="CS16" i="47"/>
  <c r="CQ16" i="47"/>
  <c r="CO16" i="47"/>
  <c r="CM16" i="47"/>
  <c r="CK16" i="47"/>
  <c r="CI16" i="47"/>
  <c r="CG16" i="47"/>
  <c r="CE16" i="47"/>
  <c r="CC16" i="47"/>
  <c r="CA16" i="47"/>
  <c r="BY16" i="47"/>
  <c r="BW16" i="47"/>
  <c r="BU16" i="47"/>
  <c r="BS16" i="47"/>
  <c r="BQ16" i="47"/>
  <c r="BO16" i="47"/>
  <c r="BM16" i="47"/>
  <c r="BK16" i="47"/>
  <c r="BI16" i="47"/>
  <c r="DA15" i="47"/>
  <c r="CY15" i="47"/>
  <c r="CW15" i="47"/>
  <c r="CU15" i="47"/>
  <c r="CS15" i="47"/>
  <c r="CQ15" i="47"/>
  <c r="CO15" i="47"/>
  <c r="CM15" i="47"/>
  <c r="CK15" i="47"/>
  <c r="CI15" i="47"/>
  <c r="CG15" i="47"/>
  <c r="CE15" i="47"/>
  <c r="CC15" i="47"/>
  <c r="CA15" i="47"/>
  <c r="BY15" i="47"/>
  <c r="BW15" i="47"/>
  <c r="BU15" i="47"/>
  <c r="BS15" i="47"/>
  <c r="BQ15" i="47"/>
  <c r="BO15" i="47"/>
  <c r="BM15" i="47"/>
  <c r="BK15" i="47"/>
  <c r="BI15" i="47"/>
  <c r="DA14" i="47"/>
  <c r="CY14" i="47"/>
  <c r="CW14" i="47"/>
  <c r="CU14" i="47"/>
  <c r="CS14" i="47"/>
  <c r="CQ14" i="47"/>
  <c r="CO14" i="47"/>
  <c r="CM14" i="47"/>
  <c r="CK14" i="47"/>
  <c r="CI14" i="47"/>
  <c r="CG14" i="47"/>
  <c r="CE14" i="47"/>
  <c r="CC14" i="47"/>
  <c r="CA14" i="47"/>
  <c r="BY14" i="47"/>
  <c r="BW14" i="47"/>
  <c r="BU14" i="47"/>
  <c r="BS14" i="47"/>
  <c r="BQ14" i="47"/>
  <c r="BO14" i="47"/>
  <c r="BM14" i="47"/>
  <c r="BK14" i="47"/>
  <c r="BI14" i="47"/>
  <c r="DA13" i="47"/>
  <c r="CY13" i="47"/>
  <c r="CW13" i="47"/>
  <c r="CU13" i="47"/>
  <c r="CS13" i="47"/>
  <c r="CQ13" i="47"/>
  <c r="CO13" i="47"/>
  <c r="CM13" i="47"/>
  <c r="CK13" i="47"/>
  <c r="CI13" i="47"/>
  <c r="CG13" i="47"/>
  <c r="CE13" i="47"/>
  <c r="CC13" i="47"/>
  <c r="CA13" i="47"/>
  <c r="BY13" i="47"/>
  <c r="BW13" i="47"/>
  <c r="BU13" i="47"/>
  <c r="BS13" i="47"/>
  <c r="BQ13" i="47"/>
  <c r="BO13" i="47"/>
  <c r="BM13" i="47"/>
  <c r="BK13" i="47"/>
  <c r="BI13" i="47"/>
  <c r="DA12" i="47"/>
  <c r="CY12" i="47"/>
  <c r="CW12" i="47"/>
  <c r="CU12" i="47"/>
  <c r="CS12" i="47"/>
  <c r="CQ12" i="47"/>
  <c r="CO12" i="47"/>
  <c r="CM12" i="47"/>
  <c r="CK12" i="47"/>
  <c r="CI12" i="47"/>
  <c r="CG12" i="47"/>
  <c r="CE12" i="47"/>
  <c r="CC12" i="47"/>
  <c r="CA12" i="47"/>
  <c r="BY12" i="47"/>
  <c r="BW12" i="47"/>
  <c r="BU12" i="47"/>
  <c r="BS12" i="47"/>
  <c r="BQ12" i="47"/>
  <c r="BO12" i="47"/>
  <c r="BM12" i="47"/>
  <c r="BK12" i="47"/>
  <c r="BI12" i="47"/>
  <c r="CU10" i="47"/>
  <c r="CS10" i="47"/>
  <c r="CQ10" i="47"/>
  <c r="CO10" i="47"/>
  <c r="CM10" i="47"/>
  <c r="CK10" i="47"/>
  <c r="CI10" i="47"/>
  <c r="CG10" i="47"/>
  <c r="CE10" i="47"/>
  <c r="CC10" i="47"/>
  <c r="CA10" i="47"/>
  <c r="BY10" i="47"/>
  <c r="BW10" i="47"/>
  <c r="BU10" i="47"/>
  <c r="BS10" i="47"/>
  <c r="BQ10" i="47"/>
  <c r="BO10" i="47"/>
  <c r="BM10" i="47"/>
  <c r="BK10" i="47"/>
  <c r="BI10" i="47"/>
  <c r="DA9" i="47"/>
  <c r="CY9" i="47"/>
  <c r="CW9" i="47"/>
  <c r="CU9" i="47"/>
  <c r="CS9" i="47"/>
  <c r="CQ9" i="47"/>
  <c r="CO9" i="47"/>
  <c r="CM9" i="47"/>
  <c r="CK9" i="47"/>
  <c r="CI9" i="47"/>
  <c r="CG9" i="47"/>
  <c r="CE9" i="47"/>
  <c r="CC9" i="47"/>
  <c r="CA9" i="47"/>
  <c r="BY9" i="47"/>
  <c r="BW9" i="47"/>
  <c r="BU9" i="47"/>
  <c r="BS9" i="47"/>
  <c r="BQ9" i="47"/>
  <c r="BO9" i="47"/>
  <c r="BM9" i="47"/>
  <c r="BK9" i="47"/>
  <c r="BI9" i="47"/>
  <c r="DA8" i="47"/>
  <c r="CY8" i="47"/>
  <c r="CW8" i="47"/>
  <c r="CU8" i="47"/>
  <c r="CS8" i="47"/>
  <c r="CQ8" i="47"/>
  <c r="CO8" i="47"/>
  <c r="CM8" i="47"/>
  <c r="CK8" i="47"/>
  <c r="CI8" i="47"/>
  <c r="CG8" i="47"/>
  <c r="CE8" i="47"/>
  <c r="CC8" i="47"/>
  <c r="CA8" i="47"/>
  <c r="BY8" i="47"/>
  <c r="BW8" i="47"/>
  <c r="BU8" i="47"/>
  <c r="BS8" i="47"/>
  <c r="BQ8" i="47"/>
  <c r="BO8" i="47"/>
  <c r="BM8" i="47"/>
  <c r="BK8" i="47"/>
  <c r="BI8" i="47"/>
  <c r="U46" i="40"/>
  <c r="D46" i="40"/>
  <c r="D44" i="40"/>
  <c r="U42" i="40"/>
  <c r="D42" i="40"/>
  <c r="D40" i="40"/>
  <c r="U38" i="40"/>
  <c r="J38" i="40"/>
  <c r="D38" i="40"/>
  <c r="D36" i="40"/>
  <c r="U34" i="40"/>
  <c r="D34" i="40"/>
  <c r="U43" i="41"/>
  <c r="E42" i="41"/>
  <c r="U41" i="41"/>
  <c r="U39" i="41"/>
  <c r="U37" i="41"/>
  <c r="U35" i="41"/>
  <c r="U33" i="41"/>
  <c r="D33" i="41"/>
  <c r="K32" i="41"/>
  <c r="U31" i="41"/>
  <c r="AA61" i="47"/>
  <c r="D61" i="47"/>
  <c r="AA59" i="47"/>
  <c r="N59" i="47"/>
  <c r="D59" i="47"/>
  <c r="F58" i="47"/>
  <c r="AA57" i="47"/>
  <c r="D57" i="47"/>
  <c r="AA55" i="47"/>
  <c r="D55" i="47"/>
  <c r="AA53" i="47"/>
  <c r="D53" i="47"/>
  <c r="AA51" i="47"/>
  <c r="F51" i="47"/>
  <c r="D51" i="47"/>
  <c r="AA49" i="47"/>
  <c r="Q49" i="47"/>
  <c r="L49" i="47"/>
  <c r="D49" i="47"/>
  <c r="F47" i="47"/>
  <c r="D47" i="47"/>
  <c r="D46" i="47"/>
  <c r="E45" i="47"/>
  <c r="BI8" i="28"/>
  <c r="BK8" i="28"/>
  <c r="BM8" i="28"/>
  <c r="BO8" i="28"/>
  <c r="BQ8" i="28"/>
  <c r="BS8" i="28"/>
  <c r="BU8" i="28"/>
  <c r="BW8" i="28"/>
  <c r="BY8" i="28"/>
  <c r="CA8" i="28"/>
  <c r="CC8" i="28"/>
  <c r="CE8" i="28"/>
  <c r="CG8" i="28"/>
  <c r="CI8" i="28"/>
  <c r="CK8" i="28"/>
  <c r="CM8" i="28"/>
  <c r="CO8" i="28"/>
  <c r="CQ8" i="28"/>
  <c r="CS8" i="28"/>
  <c r="CU8" i="28"/>
  <c r="CW8" i="28"/>
  <c r="CY8" i="28"/>
  <c r="DA8" i="28"/>
  <c r="BI9" i="28"/>
  <c r="BK9" i="28"/>
  <c r="BM9" i="28"/>
  <c r="BO9" i="28"/>
  <c r="BQ9" i="28"/>
  <c r="BS9" i="28"/>
  <c r="BU9" i="28"/>
  <c r="BW9" i="28"/>
  <c r="BY9" i="28"/>
  <c r="CA9" i="28"/>
  <c r="CC9" i="28"/>
  <c r="CE9" i="28"/>
  <c r="CG9" i="28"/>
  <c r="CI9" i="28"/>
  <c r="CK9" i="28"/>
  <c r="CM9" i="28"/>
  <c r="CO9" i="28"/>
  <c r="CQ9" i="28"/>
  <c r="CS9" i="28"/>
  <c r="CU9" i="28"/>
  <c r="CW9" i="28"/>
  <c r="CY9" i="28"/>
  <c r="DA9" i="28"/>
  <c r="BI10" i="28"/>
  <c r="BK10" i="28"/>
  <c r="BM10" i="28"/>
  <c r="BO10" i="28"/>
  <c r="BQ10" i="28"/>
  <c r="BS10" i="28"/>
  <c r="BU10" i="28"/>
  <c r="BW10" i="28"/>
  <c r="BY10" i="28"/>
  <c r="CA10" i="28"/>
  <c r="CC10" i="28"/>
  <c r="CE10" i="28"/>
  <c r="CG10" i="28"/>
  <c r="CI10" i="28"/>
  <c r="CK10" i="28"/>
  <c r="CM10" i="28"/>
  <c r="CO10" i="28"/>
  <c r="CQ10" i="28"/>
  <c r="CS10" i="28"/>
  <c r="CU10" i="28"/>
  <c r="CW10" i="28"/>
  <c r="CY10" i="28"/>
  <c r="DA10" i="28"/>
  <c r="BI11" i="28"/>
  <c r="BK11" i="28"/>
  <c r="BM11" i="28"/>
  <c r="BO11" i="28"/>
  <c r="BQ11" i="28"/>
  <c r="BS11" i="28"/>
  <c r="BU11" i="28"/>
  <c r="BW11" i="28"/>
  <c r="BY11" i="28"/>
  <c r="CA11" i="28"/>
  <c r="CC11" i="28"/>
  <c r="CE11" i="28"/>
  <c r="CG11" i="28"/>
  <c r="CI11" i="28"/>
  <c r="CK11" i="28"/>
  <c r="CM11" i="28"/>
  <c r="CO11" i="28"/>
  <c r="CQ11" i="28"/>
  <c r="CS11" i="28"/>
  <c r="CU11" i="28"/>
  <c r="CW11" i="28"/>
  <c r="CY11" i="28"/>
  <c r="DA11" i="28"/>
  <c r="BI12" i="28"/>
  <c r="BK12" i="28"/>
  <c r="BM12" i="28"/>
  <c r="BO12" i="28"/>
  <c r="BQ12" i="28"/>
  <c r="BS12" i="28"/>
  <c r="BU12" i="28"/>
  <c r="BW12" i="28"/>
  <c r="BY12" i="28"/>
  <c r="CA12" i="28"/>
  <c r="CC12" i="28"/>
  <c r="CE12" i="28"/>
  <c r="CG12" i="28"/>
  <c r="CI12" i="28"/>
  <c r="CK12" i="28"/>
  <c r="CM12" i="28"/>
  <c r="CO12" i="28"/>
  <c r="CQ12" i="28"/>
  <c r="CS12" i="28"/>
  <c r="CU12" i="28"/>
  <c r="CW12" i="28"/>
  <c r="CY12" i="28"/>
  <c r="DA12" i="28"/>
  <c r="BG16" i="28"/>
  <c r="BI16" i="28"/>
  <c r="BK16" i="28"/>
  <c r="BM16" i="28"/>
  <c r="BO16" i="28"/>
  <c r="BQ16" i="28"/>
  <c r="BS16" i="28"/>
  <c r="BU16" i="28"/>
  <c r="BW16" i="28"/>
  <c r="BY16" i="28"/>
  <c r="CA16" i="28"/>
  <c r="CC16" i="28"/>
  <c r="CE16" i="28"/>
  <c r="CG16" i="28"/>
  <c r="CI16" i="28"/>
  <c r="CK16" i="28"/>
  <c r="CM16" i="28"/>
  <c r="CO16" i="28"/>
  <c r="CQ16" i="28"/>
  <c r="CS16" i="28"/>
  <c r="CU16" i="28"/>
  <c r="CW16" i="28"/>
  <c r="CY16" i="28"/>
  <c r="DA16" i="28"/>
  <c r="BG17" i="28"/>
  <c r="BI17" i="28"/>
  <c r="BK17" i="28"/>
  <c r="BM17" i="28"/>
  <c r="BO17" i="28"/>
  <c r="BQ17" i="28"/>
  <c r="BS17" i="28"/>
  <c r="BU17" i="28"/>
  <c r="BW17" i="28"/>
  <c r="BY17" i="28"/>
  <c r="CA17" i="28"/>
  <c r="CC17" i="28"/>
  <c r="CE17" i="28"/>
  <c r="CG17" i="28"/>
  <c r="CI17" i="28"/>
  <c r="CK17" i="28"/>
  <c r="CM17" i="28"/>
  <c r="CO17" i="28"/>
  <c r="CQ17" i="28"/>
  <c r="CS17" i="28"/>
  <c r="CU17" i="28"/>
  <c r="CW17" i="28"/>
  <c r="CY17" i="28"/>
  <c r="DA17" i="28"/>
  <c r="BG18" i="28"/>
  <c r="BI18" i="28"/>
  <c r="BK18" i="28"/>
  <c r="BM18" i="28"/>
  <c r="BO18" i="28"/>
  <c r="BQ18" i="28"/>
  <c r="BS18" i="28"/>
  <c r="BU18" i="28"/>
  <c r="BW18" i="28"/>
  <c r="BY18" i="28"/>
  <c r="CA18" i="28"/>
  <c r="CC18" i="28"/>
  <c r="CE18" i="28"/>
  <c r="CG18" i="28"/>
  <c r="CI18" i="28"/>
  <c r="CK18" i="28"/>
  <c r="CM18" i="28"/>
  <c r="CO18" i="28"/>
  <c r="CQ18" i="28"/>
  <c r="CS18" i="28"/>
  <c r="CU18" i="28"/>
  <c r="CW18" i="28"/>
  <c r="CY18" i="28"/>
  <c r="DA18" i="28"/>
  <c r="BG19" i="28"/>
  <c r="BI19" i="28"/>
  <c r="BK19" i="28"/>
  <c r="BM19" i="28"/>
  <c r="BO19" i="28"/>
  <c r="BQ19" i="28"/>
  <c r="BS19" i="28"/>
  <c r="BU19" i="28"/>
  <c r="BW19" i="28"/>
  <c r="BY19" i="28"/>
  <c r="CA19" i="28"/>
  <c r="CC19" i="28"/>
  <c r="CE19" i="28"/>
  <c r="CG19" i="28"/>
  <c r="CI19" i="28"/>
  <c r="CK19" i="28"/>
  <c r="CM19" i="28"/>
  <c r="CO19" i="28"/>
  <c r="CQ19" i="28"/>
  <c r="CS19" i="28"/>
  <c r="CU19" i="28"/>
  <c r="CW19" i="28"/>
  <c r="CY19" i="28"/>
  <c r="DA19" i="28"/>
  <c r="BG21" i="28"/>
  <c r="BI21" i="28"/>
  <c r="BK21" i="28"/>
  <c r="BM21" i="28"/>
  <c r="BO21" i="28"/>
  <c r="BQ21" i="28"/>
  <c r="BS21" i="28"/>
  <c r="BU21" i="28"/>
  <c r="BW21" i="28"/>
  <c r="BY21" i="28"/>
  <c r="CA21" i="28"/>
  <c r="CC21" i="28"/>
  <c r="CE21" i="28"/>
  <c r="CG21" i="28"/>
  <c r="CI21" i="28"/>
  <c r="CK21" i="28"/>
  <c r="CM21" i="28"/>
  <c r="CO21" i="28"/>
  <c r="CQ21" i="28"/>
  <c r="CS21" i="28"/>
  <c r="CU21" i="28"/>
  <c r="CW21" i="28"/>
  <c r="CY21" i="28"/>
  <c r="DA21" i="28"/>
  <c r="BG22" i="28"/>
  <c r="BI22" i="28"/>
  <c r="BK22" i="28"/>
  <c r="BM22" i="28"/>
  <c r="BO22" i="28"/>
  <c r="BQ22" i="28"/>
  <c r="BS22" i="28"/>
  <c r="BU22" i="28"/>
  <c r="BW22" i="28"/>
  <c r="BY22" i="28"/>
  <c r="CA22" i="28"/>
  <c r="CC22" i="28"/>
  <c r="CE22" i="28"/>
  <c r="CG22" i="28"/>
  <c r="CI22" i="28"/>
  <c r="CK22" i="28"/>
  <c r="CM22" i="28"/>
  <c r="CO22" i="28"/>
  <c r="CQ22" i="28"/>
  <c r="CS22" i="28"/>
  <c r="CU22" i="28"/>
  <c r="CW22" i="28"/>
  <c r="CY22" i="28"/>
  <c r="DA22" i="28"/>
  <c r="BG23" i="28"/>
  <c r="BI23" i="28"/>
  <c r="BK23" i="28"/>
  <c r="BM23" i="28"/>
  <c r="BO23" i="28"/>
  <c r="BQ23" i="28"/>
  <c r="BS23" i="28"/>
  <c r="BU23" i="28"/>
  <c r="BW23" i="28"/>
  <c r="BY23" i="28"/>
  <c r="CA23" i="28"/>
  <c r="CC23" i="28"/>
  <c r="CE23" i="28"/>
  <c r="CG23" i="28"/>
  <c r="CI23" i="28"/>
  <c r="CK23" i="28"/>
  <c r="CM23" i="28"/>
  <c r="CO23" i="28"/>
  <c r="CQ23" i="28"/>
  <c r="CS23" i="28"/>
  <c r="CU23" i="28"/>
  <c r="CW23" i="28"/>
  <c r="CY23" i="28"/>
  <c r="DA23" i="28"/>
  <c r="BI8" i="46"/>
  <c r="BK8" i="46"/>
  <c r="BM8" i="46"/>
  <c r="BO8" i="46"/>
  <c r="BQ8" i="46"/>
  <c r="BS8" i="46"/>
  <c r="BU8" i="46"/>
  <c r="BW8" i="46"/>
  <c r="BY8" i="46"/>
  <c r="CA8" i="46"/>
  <c r="CC8" i="46"/>
  <c r="CE8" i="46"/>
  <c r="CG8" i="46"/>
  <c r="CI8" i="46"/>
  <c r="CK8" i="46"/>
  <c r="CM8" i="46"/>
  <c r="CO8" i="46"/>
  <c r="CQ8" i="46"/>
  <c r="CS8" i="46"/>
  <c r="CU8" i="46"/>
  <c r="CW8" i="46"/>
  <c r="CY8" i="46"/>
  <c r="DA8" i="46"/>
  <c r="DC8" i="46"/>
  <c r="BI9" i="46"/>
  <c r="BK9" i="46"/>
  <c r="BM9" i="46"/>
  <c r="BO9" i="46"/>
  <c r="BQ9" i="46"/>
  <c r="BS9" i="46"/>
  <c r="BU9" i="46"/>
  <c r="BW9" i="46"/>
  <c r="BY9" i="46"/>
  <c r="CA9" i="46"/>
  <c r="CC9" i="46"/>
  <c r="CE9" i="46"/>
  <c r="CG9" i="46"/>
  <c r="CI9" i="46"/>
  <c r="CK9" i="46"/>
  <c r="CM9" i="46"/>
  <c r="CO9" i="46"/>
  <c r="CQ9" i="46"/>
  <c r="CS9" i="46"/>
  <c r="CU9" i="46"/>
  <c r="CW9" i="46"/>
  <c r="CY9" i="46"/>
  <c r="DA9" i="46"/>
  <c r="DC9" i="46"/>
  <c r="BI10" i="46"/>
  <c r="BK10" i="46"/>
  <c r="BM10" i="46"/>
  <c r="BO10" i="46"/>
  <c r="BQ10" i="46"/>
  <c r="BS10" i="46"/>
  <c r="BU10" i="46"/>
  <c r="BW10" i="46"/>
  <c r="BY10" i="46"/>
  <c r="CA10" i="46"/>
  <c r="CC10" i="46"/>
  <c r="CE10" i="46"/>
  <c r="CG10" i="46"/>
  <c r="CI10" i="46"/>
  <c r="CK10" i="46"/>
  <c r="CM10" i="46"/>
  <c r="CO10" i="46"/>
  <c r="CQ10" i="46"/>
  <c r="CS10" i="46"/>
  <c r="CU10" i="46"/>
  <c r="CW10" i="46"/>
  <c r="CY10" i="46"/>
  <c r="DA10" i="46"/>
  <c r="DC10" i="46"/>
  <c r="BI11" i="46"/>
  <c r="BK11" i="46"/>
  <c r="BM11" i="46"/>
  <c r="BO11" i="46"/>
  <c r="BQ11" i="46"/>
  <c r="BS11" i="46"/>
  <c r="BU11" i="46"/>
  <c r="BW11" i="46"/>
  <c r="BY11" i="46"/>
  <c r="CA11" i="46"/>
  <c r="CC11" i="46"/>
  <c r="CE11" i="46"/>
  <c r="CG11" i="46"/>
  <c r="CI11" i="46"/>
  <c r="CK11" i="46"/>
  <c r="CM11" i="46"/>
  <c r="CO11" i="46"/>
  <c r="CQ11" i="46"/>
  <c r="CS11" i="46"/>
  <c r="CU11" i="46"/>
  <c r="CW11" i="46"/>
  <c r="CY11" i="46"/>
  <c r="DA11" i="46"/>
  <c r="DC11" i="46"/>
  <c r="BI12" i="46"/>
  <c r="BK12" i="46"/>
  <c r="BM12" i="46"/>
  <c r="BO12" i="46"/>
  <c r="BQ12" i="46"/>
  <c r="BS12" i="46"/>
  <c r="BU12" i="46"/>
  <c r="BW12" i="46"/>
  <c r="BY12" i="46"/>
  <c r="CA12" i="46"/>
  <c r="CC12" i="46"/>
  <c r="CE12" i="46"/>
  <c r="CG12" i="46"/>
  <c r="CI12" i="46"/>
  <c r="CK12" i="46"/>
  <c r="CM12" i="46"/>
  <c r="CO12" i="46"/>
  <c r="CQ12" i="46"/>
  <c r="CS12" i="46"/>
  <c r="CU12" i="46"/>
  <c r="CW12" i="46"/>
  <c r="CY12" i="46"/>
  <c r="DA12" i="46"/>
  <c r="DC12" i="46"/>
  <c r="BI13" i="46"/>
  <c r="BK13" i="46"/>
  <c r="BM13" i="46"/>
  <c r="BO13" i="46"/>
  <c r="BQ13" i="46"/>
  <c r="BS13" i="46"/>
  <c r="BU13" i="46"/>
  <c r="BW13" i="46"/>
  <c r="BY13" i="46"/>
  <c r="CA13" i="46"/>
  <c r="CC13" i="46"/>
  <c r="CE13" i="46"/>
  <c r="CG13" i="46"/>
  <c r="CI13" i="46"/>
  <c r="CK13" i="46"/>
  <c r="CM13" i="46"/>
  <c r="CO13" i="46"/>
  <c r="CQ13" i="46"/>
  <c r="CS13" i="46"/>
  <c r="CU13" i="46"/>
  <c r="CW13" i="46"/>
  <c r="CY13" i="46"/>
  <c r="DA13" i="46"/>
  <c r="DC13" i="46"/>
  <c r="BI14" i="46"/>
  <c r="BK14" i="46"/>
  <c r="BM14" i="46"/>
  <c r="BO14" i="46"/>
  <c r="BQ14" i="46"/>
  <c r="BS14" i="46"/>
  <c r="BU14" i="46"/>
  <c r="BW14" i="46"/>
  <c r="BY14" i="46"/>
  <c r="CA14" i="46"/>
  <c r="CC14" i="46"/>
  <c r="CE14" i="46"/>
  <c r="CG14" i="46"/>
  <c r="CI14" i="46"/>
  <c r="CK14" i="46"/>
  <c r="CM14" i="46"/>
  <c r="CO14" i="46"/>
  <c r="CQ14" i="46"/>
  <c r="CS14" i="46"/>
  <c r="CU14" i="46"/>
  <c r="CW14" i="46"/>
  <c r="CY14" i="46"/>
  <c r="DA14" i="46"/>
  <c r="DC14" i="46"/>
  <c r="BI15" i="46"/>
  <c r="BK15" i="46"/>
  <c r="BM15" i="46"/>
  <c r="BO15" i="46"/>
  <c r="BQ15" i="46"/>
  <c r="BS15" i="46"/>
  <c r="BU15" i="46"/>
  <c r="BW15" i="46"/>
  <c r="BY15" i="46"/>
  <c r="CA15" i="46"/>
  <c r="CC15" i="46"/>
  <c r="CE15" i="46"/>
  <c r="CG15" i="46"/>
  <c r="CI15" i="46"/>
  <c r="CK15" i="46"/>
  <c r="CM15" i="46"/>
  <c r="CO15" i="46"/>
  <c r="CQ15" i="46"/>
  <c r="CS15" i="46"/>
  <c r="CU15" i="46"/>
  <c r="CW15" i="46"/>
  <c r="CY15" i="46"/>
  <c r="DA15" i="46"/>
  <c r="DC15" i="46"/>
  <c r="BI16" i="46"/>
  <c r="BK16" i="46"/>
  <c r="BM16" i="46"/>
  <c r="BO16" i="46"/>
  <c r="BQ16" i="46"/>
  <c r="BS16" i="46"/>
  <c r="BU16" i="46"/>
  <c r="BW16" i="46"/>
  <c r="BY16" i="46"/>
  <c r="CA16" i="46"/>
  <c r="CC16" i="46"/>
  <c r="CE16" i="46"/>
  <c r="CG16" i="46"/>
  <c r="CI16" i="46"/>
  <c r="CK16" i="46"/>
  <c r="CM16" i="46"/>
  <c r="CO16" i="46"/>
  <c r="CQ16" i="46"/>
  <c r="CS16" i="46"/>
  <c r="CU16" i="46"/>
  <c r="CW16" i="46"/>
  <c r="CY16" i="46"/>
  <c r="DA16" i="46"/>
  <c r="DC16" i="46"/>
  <c r="BI21" i="46"/>
  <c r="BJ21" i="46"/>
  <c r="BK21" i="46"/>
  <c r="BM21" i="46"/>
  <c r="BO21" i="46"/>
  <c r="BQ21" i="46"/>
  <c r="BS21" i="46"/>
  <c r="BU21" i="46"/>
  <c r="BW21" i="46"/>
  <c r="BY21" i="46"/>
  <c r="CA21" i="46"/>
  <c r="CC21" i="46"/>
  <c r="CE21" i="46"/>
  <c r="CG21" i="46"/>
  <c r="CI21" i="46"/>
  <c r="CK21" i="46"/>
  <c r="CM21" i="46"/>
  <c r="CO21" i="46"/>
  <c r="CQ21" i="46"/>
  <c r="CS21" i="46"/>
  <c r="CU21" i="46"/>
  <c r="CW21" i="46"/>
  <c r="CY21" i="46"/>
  <c r="DA21" i="46"/>
  <c r="DC21" i="46"/>
  <c r="BI22" i="46"/>
  <c r="BJ22" i="46"/>
  <c r="BK22" i="46"/>
  <c r="BM22" i="46"/>
  <c r="BO22" i="46"/>
  <c r="BQ22" i="46"/>
  <c r="BS22" i="46"/>
  <c r="BU22" i="46"/>
  <c r="BW22" i="46"/>
  <c r="BY22" i="46"/>
  <c r="CA22" i="46"/>
  <c r="CC22" i="46"/>
  <c r="CE22" i="46"/>
  <c r="CG22" i="46"/>
  <c r="CI22" i="46"/>
  <c r="CK22" i="46"/>
  <c r="CM22" i="46"/>
  <c r="CO22" i="46"/>
  <c r="CQ22" i="46"/>
  <c r="CS22" i="46"/>
  <c r="CU22" i="46"/>
  <c r="CW22" i="46"/>
  <c r="CY22" i="46"/>
  <c r="DA22" i="46"/>
  <c r="DC22" i="46"/>
  <c r="BI23" i="46"/>
  <c r="BJ23" i="46"/>
  <c r="BK23" i="46"/>
  <c r="BM23" i="46"/>
  <c r="BO23" i="46"/>
  <c r="BQ23" i="46"/>
  <c r="BS23" i="46"/>
  <c r="BU23" i="46"/>
  <c r="BW23" i="46"/>
  <c r="BY23" i="46"/>
  <c r="CA23" i="46"/>
  <c r="CC23" i="46"/>
  <c r="CE23" i="46"/>
  <c r="CG23" i="46"/>
  <c r="CI23" i="46"/>
  <c r="CK23" i="46"/>
  <c r="CM23" i="46"/>
  <c r="CO23" i="46"/>
  <c r="CQ23" i="46"/>
  <c r="CS23" i="46"/>
  <c r="CU23" i="46"/>
  <c r="CW23" i="46"/>
  <c r="CY23" i="46"/>
  <c r="DA23" i="46"/>
  <c r="DC23" i="46"/>
  <c r="BI24" i="46"/>
  <c r="BJ24" i="46"/>
  <c r="BK24" i="46"/>
  <c r="BM24" i="46"/>
  <c r="BO24" i="46"/>
  <c r="BQ24" i="46"/>
  <c r="BS24" i="46"/>
  <c r="BU24" i="46"/>
  <c r="BW24" i="46"/>
  <c r="BY24" i="46"/>
  <c r="CA24" i="46"/>
  <c r="CC24" i="46"/>
  <c r="CE24" i="46"/>
  <c r="CG24" i="46"/>
  <c r="CI24" i="46"/>
  <c r="CK24" i="46"/>
  <c r="CM24" i="46"/>
  <c r="CO24" i="46"/>
  <c r="CQ24" i="46"/>
  <c r="CS24" i="46"/>
  <c r="CU24" i="46"/>
  <c r="CW24" i="46"/>
  <c r="CY24" i="46"/>
  <c r="DA24" i="46"/>
  <c r="DC24" i="46"/>
  <c r="BI25" i="46"/>
  <c r="BJ25" i="46"/>
  <c r="BK25" i="46"/>
  <c r="BM25" i="46"/>
  <c r="BO25" i="46"/>
  <c r="BQ25" i="46"/>
  <c r="BS25" i="46"/>
  <c r="BU25" i="46"/>
  <c r="BW25" i="46"/>
  <c r="BY25" i="46"/>
  <c r="CA25" i="46"/>
  <c r="CC25" i="46"/>
  <c r="CE25" i="46"/>
  <c r="CG25" i="46"/>
  <c r="CI25" i="46"/>
  <c r="CK25" i="46"/>
  <c r="CM25" i="46"/>
  <c r="CO25" i="46"/>
  <c r="CQ25" i="46"/>
  <c r="CS25" i="46"/>
  <c r="CU25" i="46"/>
  <c r="CW25" i="46"/>
  <c r="CY25" i="46"/>
  <c r="DA25" i="46"/>
  <c r="DC25" i="46"/>
  <c r="F26" i="46"/>
  <c r="M26" i="46"/>
  <c r="BI26" i="46"/>
  <c r="BJ26" i="46"/>
  <c r="BK26" i="46"/>
  <c r="BM26" i="46"/>
  <c r="BO26" i="46"/>
  <c r="BQ26" i="46"/>
  <c r="BS26" i="46"/>
  <c r="BU26" i="46"/>
  <c r="BW26" i="46"/>
  <c r="BY26" i="46"/>
  <c r="CA26" i="46"/>
  <c r="CC26" i="46"/>
  <c r="CE26" i="46"/>
  <c r="CG26" i="46"/>
  <c r="CI26" i="46"/>
  <c r="CK26" i="46"/>
  <c r="CM26" i="46"/>
  <c r="CO26" i="46"/>
  <c r="CQ26" i="46"/>
  <c r="CS26" i="46"/>
  <c r="CU26" i="46"/>
  <c r="CW26" i="46"/>
  <c r="CY26" i="46"/>
  <c r="DA26" i="46"/>
  <c r="DC26" i="46"/>
  <c r="BI27" i="46"/>
  <c r="H28" i="46"/>
  <c r="BI28" i="46"/>
  <c r="BI29" i="46" s="1"/>
  <c r="V29" i="46"/>
  <c r="F30" i="46"/>
  <c r="M30" i="46"/>
  <c r="BI30" i="46"/>
  <c r="V31" i="46"/>
  <c r="BI31" i="46"/>
  <c r="BI33" i="46"/>
  <c r="BI35" i="46" s="1"/>
  <c r="BI34" i="46"/>
  <c r="BI36" i="46"/>
  <c r="BI37" i="46"/>
  <c r="CY31" i="47" l="1"/>
  <c r="CW44" i="47"/>
  <c r="CW10" i="47"/>
  <c r="BI38" i="46"/>
  <c r="CY10" i="47"/>
  <c r="CU34" i="47"/>
  <c r="CU48" i="47"/>
  <c r="DA10" i="47"/>
  <c r="CW48" i="47"/>
  <c r="CU42" i="47"/>
  <c r="CU44" i="47" s="1"/>
  <c r="BI32" i="46"/>
  <c r="CY42" i="47"/>
  <c r="CY44" i="47" s="1"/>
  <c r="CU50" i="47"/>
  <c r="CU46" i="47"/>
  <c r="AX26" i="47"/>
  <c r="CU52" i="47"/>
  <c r="CU47" i="47"/>
  <c r="AT28" i="47"/>
  <c r="CU45" i="47"/>
  <c r="CU26" i="47"/>
  <c r="AV26" i="47"/>
  <c r="CY30" i="47"/>
  <c r="CW46" i="47"/>
  <c r="CW50" i="47"/>
  <c r="CG46" i="47"/>
  <c r="CG47" i="47"/>
  <c r="CG48" i="47"/>
  <c r="AX28" i="47" l="1"/>
  <c r="CY47" i="47"/>
  <c r="CY52" i="47"/>
  <c r="CY45" i="47"/>
  <c r="DA26" i="47"/>
  <c r="CY26" i="47"/>
  <c r="AV28" i="47"/>
  <c r="CW45" i="47"/>
  <c r="CW52" i="47"/>
  <c r="CW47" i="47"/>
  <c r="CW26" i="47"/>
  <c r="CU51" i="47"/>
  <c r="CU53" i="47" s="1"/>
  <c r="CU28" i="47"/>
  <c r="CY51" i="47" l="1"/>
  <c r="CY53" i="47" s="1"/>
  <c r="DA28" i="47"/>
  <c r="CW53" i="47"/>
  <c r="CY28" i="47"/>
  <c r="CW51" i="47"/>
  <c r="CW28"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Reena Shah</author>
    <author>Jeremy Webb</author>
    <author>United Nations</author>
  </authors>
  <commentList>
    <comment ref="F7" authorId="0" shapeId="0" xr:uid="{00000000-0006-0000-0400-000001000000}">
      <text>
        <r>
          <rPr>
            <b/>
            <sz val="8"/>
            <color indexed="81"/>
            <rFont val="Tahoma"/>
            <family val="2"/>
          </rPr>
          <t xml:space="preserve">Promedio anual de largo plazo: </t>
        </r>
        <r>
          <rPr>
            <sz val="8"/>
            <color indexed="81"/>
            <rFont val="Tahoma"/>
            <family val="2"/>
          </rPr>
          <t>Promedio aritmético de por lo menos 30 años consecutivos. Suministre el promedio correspondiente al período disponible e indique la duración del período en las notas a pie de página.</t>
        </r>
      </text>
    </comment>
    <comment ref="D8" authorId="1" shapeId="0" xr:uid="{00000000-0006-0000-0400-000002000000}">
      <text>
        <r>
          <rPr>
            <b/>
            <sz val="8"/>
            <color indexed="81"/>
            <rFont val="Tahoma"/>
            <family val="2"/>
          </rPr>
          <t>Precipitación:</t>
        </r>
        <r>
          <rPr>
            <sz val="8"/>
            <color indexed="81"/>
            <rFont val="Tahoma"/>
            <family val="2"/>
          </rPr>
          <t xml:space="preserve">
Volumen total de precipitaciones atmosféricas húmedas (lluvia, nieve, granizo, rocío, etc.) que caen en el territorio de un país en un año, en millones de metros cúbicos.</t>
        </r>
      </text>
    </comment>
    <comment ref="D9" authorId="1" shapeId="0" xr:uid="{00000000-0006-0000-0400-000003000000}">
      <text>
        <r>
          <rPr>
            <b/>
            <sz val="8"/>
            <color indexed="81"/>
            <rFont val="Tahoma"/>
            <family val="2"/>
          </rPr>
          <t>Evapotranspiración real:</t>
        </r>
        <r>
          <rPr>
            <sz val="8"/>
            <color indexed="81"/>
            <rFont val="Tahoma"/>
            <family val="2"/>
          </rPr>
          <t xml:space="preserve">
</t>
        </r>
        <r>
          <rPr>
            <sz val="8"/>
            <color indexed="81"/>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10" authorId="1" shapeId="0" xr:uid="{00000000-0006-0000-0400-000004000000}">
      <text>
        <r>
          <rPr>
            <b/>
            <sz val="8"/>
            <color indexed="81"/>
            <rFont val="Tahoma"/>
            <family val="2"/>
          </rPr>
          <t>Flujo interno:</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shapeId="0" xr:uid="{00000000-0006-0000-0400-000005000000}">
      <text>
        <r>
          <rPr>
            <b/>
            <sz val="8"/>
            <color indexed="81"/>
            <rFont val="Tahoma"/>
            <family val="2"/>
          </rPr>
          <t>Caudal de entrada de aguas superficiales y subterráneas desde países vecinos:</t>
        </r>
        <r>
          <rPr>
            <sz val="8"/>
            <color indexed="81"/>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2" authorId="1" shapeId="0" xr:uid="{00000000-0006-0000-0400-000006000000}">
      <text>
        <r>
          <rPr>
            <b/>
            <sz val="8"/>
            <color indexed="81"/>
            <rFont val="Tahoma"/>
            <family val="2"/>
          </rPr>
          <t xml:space="preserve">Recursos renovables de agua dulce: 
</t>
        </r>
        <r>
          <rPr>
            <sz val="8"/>
            <color indexed="81"/>
            <rFont val="Tahoma"/>
            <family val="2"/>
          </rPr>
          <t xml:space="preserve"> = flujo interno + caudal de entrada de aguas superficiales y subterráneas procedente de países vecinos.</t>
        </r>
      </text>
    </comment>
    <comment ref="D13" authorId="1" shapeId="0" xr:uid="{00000000-0006-0000-0400-000007000000}">
      <text>
        <r>
          <rPr>
            <b/>
            <sz val="8"/>
            <color indexed="81"/>
            <rFont val="Tahoma"/>
            <family val="2"/>
          </rPr>
          <t>Caudal de salida de aguas superficiales y subterráneas hacia países vecinos:</t>
        </r>
        <r>
          <rPr>
            <sz val="8"/>
            <color indexed="81"/>
            <rFont val="Tahoma"/>
            <family val="2"/>
          </rPr>
          <t xml:space="preserve">
Caudal real de salida de las aguas fluviales y subterráneas hacia países vecinos.</t>
        </r>
      </text>
    </comment>
    <comment ref="D14" authorId="2" shapeId="0" xr:uid="{00000000-0006-0000-0400-000008000000}">
      <text>
        <r>
          <rPr>
            <b/>
            <sz val="8"/>
            <color indexed="81"/>
            <rFont val="Tahoma"/>
            <family val="2"/>
          </rPr>
          <t xml:space="preserve">Garantizado por tratados:
</t>
        </r>
        <r>
          <rPr>
            <sz val="8"/>
            <color indexed="81"/>
            <rFont val="Tahoma"/>
            <family val="2"/>
          </rPr>
          <t>Volumen anual de aguas superficiales y subterráneas que sale del país de referencia y está garantizado por acuerdos formales con los países adyacentes de periodicidad anual.</t>
        </r>
      </text>
    </comment>
    <comment ref="D15" authorId="2" shapeId="0" xr:uid="{00000000-0006-0000-0400-000009000000}">
      <text>
        <r>
          <rPr>
            <b/>
            <sz val="8"/>
            <color indexed="81"/>
            <rFont val="Tahoma"/>
            <family val="2"/>
          </rPr>
          <t xml:space="preserve">No garantizado por tratados:
</t>
        </r>
        <r>
          <rPr>
            <sz val="8"/>
            <color indexed="81"/>
            <rFont val="Tahoma"/>
            <family val="2"/>
          </rPr>
          <t>Volumen anual de aguas superficiales y subterráneas que sale del país de referencia y no está garantizado por acuerdos formales con los países adyacentes de periodicidad anual.</t>
        </r>
      </text>
    </comment>
    <comment ref="D16" authorId="2" shapeId="0" xr:uid="{00000000-0006-0000-0400-00000A000000}">
      <text>
        <r>
          <rPr>
            <b/>
            <sz val="8"/>
            <color indexed="81"/>
            <rFont val="Tahoma"/>
            <family val="2"/>
          </rPr>
          <t>Caudal de salida de aguas superficiales y subterráneas hacia el mar:</t>
        </r>
        <r>
          <rPr>
            <sz val="8"/>
            <color indexed="81"/>
            <rFont val="Tahoma"/>
            <family val="2"/>
          </rPr>
          <t xml:space="preserve">
Caudal real de salida de las aguas fluviales y subterráneas hacia el mar.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United Nations</author>
    <author>Marcus Newbury</author>
  </authors>
  <commentList>
    <comment ref="D8" authorId="0" shapeId="0" xr:uid="{00000000-0006-0000-0500-000001000000}">
      <text>
        <r>
          <rPr>
            <b/>
            <sz val="8"/>
            <color indexed="81"/>
            <rFont val="Tahoma"/>
            <family val="2"/>
          </rPr>
          <t xml:space="preserve">Extracción de agua dulce superficial:
</t>
        </r>
        <r>
          <rPr>
            <sz val="8"/>
            <color indexed="81"/>
            <rFont val="Tahoma"/>
            <family val="2"/>
          </rPr>
          <t xml:space="preserve">Agua extraída de cualquier fuente de agua dulce superficial, como ríos, lagos, embalses o agua de lluvia, ya sea de manera temporal o permanente. </t>
        </r>
      </text>
    </comment>
    <comment ref="D9" authorId="0" shapeId="0" xr:uid="{00000000-0006-0000-0500-000002000000}">
      <text>
        <r>
          <rPr>
            <b/>
            <sz val="8"/>
            <color indexed="81"/>
            <rFont val="Tahoma"/>
            <family val="2"/>
          </rPr>
          <t>Extracción de agua dulce subterránea:</t>
        </r>
        <r>
          <rPr>
            <sz val="8"/>
            <color indexed="81"/>
            <rFont val="Tahoma"/>
            <family val="2"/>
          </rPr>
          <t xml:space="preserve">
Agua extraída de cualquier fuente de agua dulce subterránea, ya sea de manera temporal o permanente.</t>
        </r>
      </text>
    </comment>
    <comment ref="D10" authorId="0" shapeId="0" xr:uid="{00000000-0006-0000-0500-000003000000}">
      <text>
        <r>
          <rPr>
            <b/>
            <sz val="8"/>
            <color indexed="81"/>
            <rFont val="Tahoma"/>
            <family val="2"/>
          </rPr>
          <t>Extracción de agua dulce:</t>
        </r>
        <r>
          <rPr>
            <sz val="8"/>
            <color indexed="81"/>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shapeId="0" xr:uid="{00000000-0006-0000-0500-000004000000}">
      <text>
        <r>
          <rPr>
            <sz val="8"/>
            <color indexed="81"/>
            <rFont val="Tahoma"/>
            <family val="2"/>
          </rPr>
          <t xml:space="preserve">(Extracción de agua dulce por) </t>
        </r>
        <r>
          <rPr>
            <b/>
            <sz val="8"/>
            <color indexed="81"/>
            <rFont val="Tahoma"/>
            <family val="2"/>
          </rPr>
          <t>Industria del suministro de agua (CIIU 36):</t>
        </r>
        <r>
          <rPr>
            <sz val="8"/>
            <color indexed="81"/>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shapeId="0" xr:uid="{00000000-0006-0000-0500-000005000000}">
      <text>
        <r>
          <rPr>
            <sz val="8"/>
            <color indexed="81"/>
            <rFont val="Tahoma"/>
            <family val="2"/>
          </rPr>
          <t xml:space="preserve">(Extracción de agua dulce por) </t>
        </r>
        <r>
          <rPr>
            <b/>
            <sz val="8"/>
            <color indexed="81"/>
            <rFont val="Tahoma"/>
            <family val="2"/>
          </rPr>
          <t>Hogares:</t>
        </r>
        <r>
          <rPr>
            <sz val="8"/>
            <color indexed="81"/>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shapeId="0" xr:uid="{00000000-0006-0000-0500-000006000000}">
      <text>
        <r>
          <rPr>
            <sz val="8"/>
            <color indexed="81"/>
            <rFont val="Tahoma"/>
            <family val="2"/>
          </rPr>
          <t xml:space="preserve">(Extracción de agua dulce por) </t>
        </r>
        <r>
          <rPr>
            <b/>
            <sz val="8"/>
            <color indexed="81"/>
            <rFont val="Tahoma"/>
            <family val="2"/>
          </rPr>
          <t>Agricultura, ganadería, silvicultura y pesca (CIIU 01-03):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5" authorId="1" shapeId="0" xr:uid="{00000000-0006-0000-0500-000007000000}">
      <text>
        <r>
          <rPr>
            <b/>
            <sz val="8"/>
            <color indexed="81"/>
            <rFont val="Tahoma"/>
            <family val="2"/>
          </rPr>
          <t>Riego en agricultura</t>
        </r>
        <r>
          <rPr>
            <sz val="8"/>
            <color indexed="81"/>
            <rFont val="Tahoma"/>
            <family val="2"/>
          </rPr>
          <t>: Aplicación artificial de agua sobre la tierra para ayudar al crecimiento de los cultivos y pastizales.</t>
        </r>
        <r>
          <rPr>
            <sz val="9"/>
            <color indexed="81"/>
            <rFont val="Tahoma"/>
            <family val="2"/>
          </rPr>
          <t xml:space="preserve">
</t>
        </r>
      </text>
    </comment>
    <comment ref="D16" authorId="1" shapeId="0" xr:uid="{00000000-0006-0000-0500-000008000000}">
      <text>
        <r>
          <rPr>
            <sz val="8"/>
            <color indexed="81"/>
            <rFont val="Tahoma"/>
            <family val="2"/>
          </rPr>
          <t xml:space="preserve">(Extracción de agua dulce por) </t>
        </r>
        <r>
          <rPr>
            <b/>
            <sz val="8"/>
            <color indexed="81"/>
            <rFont val="Tahoma"/>
            <family val="2"/>
          </rPr>
          <t>Explotación de minas y canteras (CIIU 05-09)</t>
        </r>
        <r>
          <rPr>
            <sz val="8"/>
            <color indexed="81"/>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color indexed="81"/>
            <rFont val="Tahoma"/>
            <family val="2"/>
          </rPr>
          <t xml:space="preserve">
</t>
        </r>
      </text>
    </comment>
    <comment ref="D17" authorId="0" shapeId="0" xr:uid="{00000000-0006-0000-0500-000009000000}">
      <text>
        <r>
          <rPr>
            <sz val="8"/>
            <color indexed="81"/>
            <rFont val="Tahoma"/>
            <family val="2"/>
          </rPr>
          <t>(Extracción de agua dulce por)</t>
        </r>
        <r>
          <rPr>
            <b/>
            <sz val="8"/>
            <color indexed="81"/>
            <rFont val="Tahoma"/>
            <family val="2"/>
          </rPr>
          <t xml:space="preserve"> Industrias manufactureras (CIIU 10-33):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8" authorId="1" shapeId="0" xr:uid="{00000000-0006-0000-0500-00000A000000}">
      <text>
        <r>
          <rPr>
            <b/>
            <sz val="8"/>
            <color indexed="81"/>
            <rFont val="Tahoma"/>
            <family val="2"/>
          </rPr>
          <t xml:space="preserve">(Extracción de agua dulce por) Suministro de electricidad, gas, vapor y aire acondicionado (CIIU 35):
</t>
        </r>
        <r>
          <rPr>
            <sz val="8"/>
            <color indexed="81"/>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19" authorId="0" shapeId="0" xr:uid="{00000000-0006-0000-0500-00000B000000}">
      <text>
        <r>
          <rPr>
            <sz val="8"/>
            <color indexed="81"/>
            <rFont val="Tahoma"/>
            <family val="2"/>
          </rPr>
          <t>(Extracción de agua dulce por)</t>
        </r>
        <r>
          <rPr>
            <b/>
            <sz val="8"/>
            <color indexed="81"/>
            <rFont val="Tahoma"/>
            <family val="2"/>
          </rPr>
          <t xml:space="preserve"> Industria de la energía eléctrica (CIIU 351):</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0" authorId="1" shapeId="0" xr:uid="{00000000-0006-0000-0500-00000C000000}">
      <text>
        <r>
          <rPr>
            <sz val="8"/>
            <color indexed="81"/>
            <rFont val="Tahoma"/>
            <family val="2"/>
          </rPr>
          <t xml:space="preserve">(Extracción de agua dulce por) </t>
        </r>
        <r>
          <rPr>
            <b/>
            <sz val="8"/>
            <color indexed="81"/>
            <rFont val="Tahoma"/>
            <family val="2"/>
          </rPr>
          <t xml:space="preserve">Construcción:
</t>
        </r>
        <r>
          <rPr>
            <sz val="8"/>
            <color indexed="81"/>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21" authorId="0" shapeId="0" xr:uid="{00000000-0006-0000-0500-00000D000000}">
      <text>
        <r>
          <rPr>
            <sz val="8"/>
            <color indexed="81"/>
            <rFont val="Tahoma"/>
            <family val="2"/>
          </rPr>
          <t>(Extracción de agua dulce por)</t>
        </r>
        <r>
          <rPr>
            <b/>
            <sz val="8"/>
            <color indexed="81"/>
            <rFont val="Tahoma"/>
            <family val="2"/>
          </rPr>
          <t xml:space="preserve"> Otras actividades económicas:</t>
        </r>
        <r>
          <rPr>
            <sz val="8"/>
            <color indexed="81"/>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2" authorId="0" shapeId="0" xr:uid="{00000000-0006-0000-0500-00000E000000}">
      <text>
        <r>
          <rPr>
            <b/>
            <sz val="8"/>
            <color indexed="81"/>
            <rFont val="Tahoma"/>
            <family val="2"/>
          </rPr>
          <t>Agua desalinizada:</t>
        </r>
        <r>
          <rPr>
            <sz val="8"/>
            <color indexed="81"/>
            <rFont val="Tahoma"/>
            <family val="2"/>
          </rPr>
          <t xml:space="preserve">
Volumen total de agua obtenida mediante procesos de desalinización (es decir, la eliminación de sal) de agua de mar y agua salobre.</t>
        </r>
      </text>
    </comment>
    <comment ref="D23" authorId="0" shapeId="0" xr:uid="{00000000-0006-0000-0500-00000F000000}">
      <text>
        <r>
          <rPr>
            <b/>
            <sz val="8"/>
            <color indexed="81"/>
            <rFont val="Tahoma"/>
            <family val="2"/>
          </rPr>
          <t>Agua reutilizada:</t>
        </r>
        <r>
          <rPr>
            <sz val="8"/>
            <color indexed="81"/>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4" authorId="0" shapeId="0" xr:uid="{00000000-0006-0000-0500-000010000000}">
      <text>
        <r>
          <rPr>
            <b/>
            <sz val="8"/>
            <color indexed="81"/>
            <rFont val="Tahoma"/>
            <family val="2"/>
          </rPr>
          <t>Importaciones de agua:</t>
        </r>
        <r>
          <rPr>
            <sz val="8"/>
            <color indexed="81"/>
            <rFont val="Tahoma"/>
            <family val="2"/>
          </rPr>
          <t xml:space="preserve">
Volumen total de agua a granel que se importa como producto de otros países a través de tuberías o en barcos o camiones. Se excluye el agua embotellada.</t>
        </r>
      </text>
    </comment>
    <comment ref="D25" authorId="0" shapeId="0" xr:uid="{00000000-0006-0000-0500-000011000000}">
      <text>
        <r>
          <rPr>
            <b/>
            <sz val="8"/>
            <color indexed="81"/>
            <rFont val="Tahoma"/>
            <family val="2"/>
          </rPr>
          <t>Exportaciones de agua:</t>
        </r>
        <r>
          <rPr>
            <sz val="8"/>
            <color indexed="81"/>
            <rFont val="Tahoma"/>
            <family val="2"/>
          </rPr>
          <t xml:space="preserve">
Volumen total de agua a granel que se exporta como producto a otros países a través de tuberías o en barcos o camiones. Se excluye el agua embotellada.</t>
        </r>
      </text>
    </comment>
    <comment ref="D26" authorId="0" shapeId="0" xr:uid="{00000000-0006-0000-0500-000012000000}">
      <text>
        <r>
          <rPr>
            <b/>
            <sz val="8"/>
            <color indexed="81"/>
            <rFont val="Tahoma"/>
            <family val="2"/>
          </rPr>
          <t>Total de agua dulce disponible para utilización:</t>
        </r>
        <r>
          <rPr>
            <sz val="8"/>
            <color indexed="81"/>
            <rFont val="Tahoma"/>
            <family val="2"/>
          </rPr>
          <t xml:space="preserve">
 = Agua dulce extraída + agua desalinizada + agua reutilizada + importación de agua - exportación de agua.</t>
        </r>
      </text>
    </comment>
    <comment ref="D27" authorId="0" shapeId="0" xr:uid="{00000000-0006-0000-0500-000013000000}">
      <text>
        <r>
          <rPr>
            <b/>
            <sz val="8"/>
            <color indexed="81"/>
            <rFont val="Tahoma"/>
            <family val="2"/>
          </rPr>
          <t>Pérdidas durante el transporte :</t>
        </r>
        <r>
          <rPr>
            <sz val="8"/>
            <color indexed="81"/>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8" authorId="0" shapeId="0" xr:uid="{00000000-0006-0000-0500-000014000000}">
      <text>
        <r>
          <rPr>
            <b/>
            <sz val="8"/>
            <color indexed="81"/>
            <rFont val="Tahoma"/>
            <family val="2"/>
          </rPr>
          <t>Utilización de agua dulce total:</t>
        </r>
        <r>
          <rPr>
            <sz val="8"/>
            <color indexed="81"/>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0" authorId="0" shapeId="0" xr:uid="{00000000-0006-0000-0500-000015000000}">
      <text>
        <r>
          <rPr>
            <sz val="8"/>
            <color indexed="81"/>
            <rFont val="Tahoma"/>
            <family val="2"/>
          </rPr>
          <t xml:space="preserve">(Agua dulce utilizada por) </t>
        </r>
        <r>
          <rPr>
            <b/>
            <sz val="8"/>
            <color indexed="81"/>
            <rFont val="Tahoma"/>
            <family val="2"/>
          </rPr>
          <t>Hogares:</t>
        </r>
        <r>
          <rPr>
            <sz val="8"/>
            <color indexed="81"/>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1" authorId="0" shapeId="0" xr:uid="{00000000-0006-0000-0500-000016000000}">
      <text>
        <r>
          <rPr>
            <sz val="8"/>
            <color indexed="81"/>
            <rFont val="Tahoma"/>
            <family val="2"/>
          </rPr>
          <t>(Agua dulce utilizada por)</t>
        </r>
        <r>
          <rPr>
            <b/>
            <sz val="8"/>
            <color indexed="81"/>
            <rFont val="Tahoma"/>
            <family val="2"/>
          </rPr>
          <t xml:space="preserve"> Agricultura, ganadería, silvicultura y pesca (CIIU 01-03):</t>
        </r>
        <r>
          <rPr>
            <sz val="8"/>
            <color indexed="81"/>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2" authorId="0" shapeId="0" xr:uid="{00000000-0006-0000-0500-000017000000}">
      <text>
        <r>
          <rPr>
            <b/>
            <sz val="8"/>
            <color indexed="81"/>
            <rFont val="Tahoma"/>
            <family val="2"/>
          </rPr>
          <t>Riego en agricultura:</t>
        </r>
        <r>
          <rPr>
            <sz val="8"/>
            <color indexed="81"/>
            <rFont val="Tahoma"/>
            <family val="2"/>
          </rPr>
          <t xml:space="preserve">
Aplicación artificial de agua sobre la tierra para ayudar al crecimiento de los cultivos y pastizales.</t>
        </r>
      </text>
    </comment>
    <comment ref="D33" authorId="1" shapeId="0" xr:uid="{00000000-0006-0000-0500-000018000000}">
      <text>
        <r>
          <rPr>
            <sz val="8"/>
            <color indexed="81"/>
            <rFont val="Tahoma"/>
            <family val="2"/>
          </rPr>
          <t xml:space="preserve">(Agua dulce utilizada por) </t>
        </r>
        <r>
          <rPr>
            <b/>
            <sz val="8"/>
            <color indexed="81"/>
            <rFont val="Tahoma"/>
            <family val="2"/>
          </rPr>
          <t xml:space="preserve">Explotación de minas y canteras (ISIC 05-09):
</t>
        </r>
        <r>
          <rPr>
            <sz val="8"/>
            <color indexed="81"/>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4" authorId="0" shapeId="0" xr:uid="{00000000-0006-0000-0500-000019000000}">
      <text>
        <r>
          <rPr>
            <sz val="8"/>
            <color indexed="81"/>
            <rFont val="Tahoma"/>
            <family val="2"/>
          </rPr>
          <t xml:space="preserve">(Agua dulce utilizada por) </t>
        </r>
        <r>
          <rPr>
            <b/>
            <sz val="8"/>
            <color indexed="81"/>
            <rFont val="Tahoma"/>
            <family val="2"/>
          </rPr>
          <t>Industrias manufactureras (CIIU 10-33):</t>
        </r>
        <r>
          <rPr>
            <sz val="8"/>
            <color indexed="81"/>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5" authorId="1" shapeId="0" xr:uid="{00000000-0006-0000-0500-00001A000000}">
      <text>
        <r>
          <rPr>
            <sz val="8"/>
            <color indexed="81"/>
            <rFont val="Tahoma"/>
            <family val="2"/>
          </rPr>
          <t xml:space="preserve">(Agua dulce utilizada por) </t>
        </r>
        <r>
          <rPr>
            <b/>
            <sz val="8"/>
            <color indexed="81"/>
            <rFont val="Tahoma"/>
            <family val="2"/>
          </rPr>
          <t xml:space="preserve">Suministro de electricidad, gas, vapor y aire acondicionado (CIIU 35):
</t>
        </r>
        <r>
          <rPr>
            <sz val="8"/>
            <color indexed="81"/>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6" authorId="0" shapeId="0" xr:uid="{00000000-0006-0000-0500-00001B000000}">
      <text>
        <r>
          <rPr>
            <sz val="8"/>
            <color indexed="81"/>
            <rFont val="Tahoma"/>
            <family val="2"/>
          </rPr>
          <t xml:space="preserve">(Agua dulce utilizada por) </t>
        </r>
        <r>
          <rPr>
            <b/>
            <sz val="8"/>
            <color indexed="81"/>
            <rFont val="Tahoma"/>
            <family val="2"/>
          </rPr>
          <t>Industria de la energía eléctrica (CIIU 351)</t>
        </r>
        <r>
          <rPr>
            <b/>
            <sz val="8"/>
            <color indexed="81"/>
            <rFont val="Tahoma"/>
            <family val="2"/>
          </rPr>
          <t>:</t>
        </r>
        <r>
          <rPr>
            <sz val="8"/>
            <color indexed="81"/>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7" authorId="1" shapeId="0" xr:uid="{00000000-0006-0000-0500-00001C000000}">
      <text>
        <r>
          <rPr>
            <sz val="8"/>
            <color indexed="81"/>
            <rFont val="Tahoma"/>
            <family val="2"/>
          </rPr>
          <t xml:space="preserve">(Agua dulce utilizada por) </t>
        </r>
        <r>
          <rPr>
            <b/>
            <sz val="8"/>
            <color indexed="81"/>
            <rFont val="Tahoma"/>
            <family val="2"/>
          </rPr>
          <t>Construcción (CIIU 41-43)</t>
        </r>
        <r>
          <rPr>
            <sz val="8"/>
            <color indexed="81"/>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38" authorId="0" shapeId="0" xr:uid="{00000000-0006-0000-0500-00001D000000}">
      <text>
        <r>
          <rPr>
            <sz val="8"/>
            <color indexed="81"/>
            <rFont val="Tahoma"/>
            <family val="2"/>
          </rPr>
          <t xml:space="preserve">(Agua dulce utilizada por) </t>
        </r>
        <r>
          <rPr>
            <b/>
            <sz val="8"/>
            <color indexed="81"/>
            <rFont val="Tahoma"/>
            <family val="2"/>
          </rPr>
          <t>Otras actividades económicas:</t>
        </r>
        <r>
          <rPr>
            <sz val="8"/>
            <color indexed="81"/>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User.Stat3</author>
    <author>Jeremy Webb</author>
    <author>United Nations</author>
  </authors>
  <commentList>
    <comment ref="D8" authorId="0" shapeId="0" xr:uid="{00000000-0006-0000-0600-000001000000}">
      <text>
        <r>
          <rPr>
            <b/>
            <sz val="8"/>
            <color indexed="81"/>
            <rFont val="Tahoma"/>
            <family val="2"/>
          </rPr>
          <t xml:space="preserve">Cantidad bruta de agua dulce provista por la industria del suministro de agua (CIIU 36):
</t>
        </r>
        <r>
          <rPr>
            <sz val="8"/>
            <color indexed="81"/>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9" authorId="1" shapeId="0" xr:uid="{00000000-0006-0000-0600-000002000000}">
      <text>
        <r>
          <rPr>
            <b/>
            <sz val="8"/>
            <color indexed="81"/>
            <rFont val="Tahoma"/>
            <family val="2"/>
          </rPr>
          <t>Pérdidas durante el transporte (CIIU 36):</t>
        </r>
        <r>
          <rPr>
            <sz val="8"/>
            <color indexed="81"/>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10" authorId="0" shapeId="0" xr:uid="{00000000-0006-0000-0600-000003000000}">
      <text>
        <r>
          <rPr>
            <b/>
            <sz val="8"/>
            <color indexed="81"/>
            <rFont val="Tahoma"/>
            <family val="2"/>
          </rPr>
          <t xml:space="preserve">Cantidad neta de agua dulce provista por la industria del suministro de agua (CIIU 36):
</t>
        </r>
        <r>
          <rPr>
            <sz val="8"/>
            <color indexed="81"/>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0" shapeId="0" xr:uid="{00000000-0006-0000-0600-000004000000}">
      <text>
        <r>
          <rPr>
            <b/>
            <sz val="8"/>
            <color indexed="81"/>
            <rFont val="Tahoma"/>
            <family val="2"/>
          </rPr>
          <t>Total de población abastecida por la industria del suministro de agua (CIIU 36):</t>
        </r>
        <r>
          <rPr>
            <sz val="8"/>
            <color indexed="81"/>
            <rFont val="Tahoma"/>
            <family val="2"/>
          </rPr>
          <t xml:space="preserve">
Porcentaje del total de la población residente que utiliza agua provista por la industria del suministro de agua (CIIU 36).</t>
        </r>
      </text>
    </comment>
    <comment ref="D22" authorId="2" shapeId="0" xr:uid="{00000000-0006-0000-0600-000005000000}">
      <text>
        <r>
          <rPr>
            <b/>
            <sz val="8"/>
            <color indexed="81"/>
            <rFont val="Tahoma"/>
            <family val="2"/>
          </rPr>
          <t xml:space="preserve">Población urbana abastecida por la industria del suministro de agua (CIIU 36):
</t>
        </r>
        <r>
          <rPr>
            <sz val="8"/>
            <color indexed="81"/>
            <rFont val="Tahoma"/>
            <family val="2"/>
          </rPr>
          <t>Porcentaje de la población urbana que utiliza agua provista por la industria del suministro de agua (CIIU 36).</t>
        </r>
      </text>
    </comment>
    <comment ref="D23" authorId="2" shapeId="0" xr:uid="{00000000-0006-0000-0600-000006000000}">
      <text>
        <r>
          <rPr>
            <b/>
            <sz val="8"/>
            <color indexed="81"/>
            <rFont val="Tahoma"/>
            <family val="2"/>
          </rPr>
          <t xml:space="preserve">Población rural abastecida por la industria del suministro de agua (CIIU 36):
</t>
        </r>
        <r>
          <rPr>
            <sz val="8"/>
            <color indexed="81"/>
            <rFont val="Tahoma"/>
            <family val="2"/>
          </rPr>
          <t>Porcentaje de la población rural que utiliza agua provista por la industria del suministro de agua (CIIU 36).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Reena Shah</author>
    <author>United Nations</author>
    <author>User.Stat3</author>
  </authors>
  <commentList>
    <comment ref="D8" authorId="0" shapeId="0" xr:uid="{00000000-0006-0000-0700-000001000000}">
      <text>
        <r>
          <rPr>
            <b/>
            <sz val="8"/>
            <color indexed="81"/>
            <rFont val="Tahoma"/>
            <family val="2"/>
          </rPr>
          <t xml:space="preserve">Total de aguas residuales generadas:
</t>
        </r>
        <r>
          <rPr>
            <sz val="8"/>
            <color indexed="81"/>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0" shapeId="0" xr:uid="{00000000-0006-0000-0700-000002000000}">
      <text>
        <r>
          <rPr>
            <sz val="8"/>
            <color indexed="81"/>
            <rFont val="Tahoma"/>
            <family val="2"/>
          </rPr>
          <t xml:space="preserve">(Aguas residuales generadas por) </t>
        </r>
        <r>
          <rPr>
            <b/>
            <sz val="8"/>
            <color indexed="81"/>
            <rFont val="Tahoma"/>
            <family val="2"/>
          </rPr>
          <t xml:space="preserve">Otras actividades económicas:
</t>
        </r>
        <r>
          <rPr>
            <sz val="8"/>
            <color indexed="81"/>
            <rFont val="Tahoma"/>
            <family val="2"/>
          </rPr>
          <t>Excluidas las aguas residuales generadas por la categoría CIIU 37 (alcantarillado).</t>
        </r>
      </text>
    </comment>
    <comment ref="D17" authorId="1" shapeId="0" xr:uid="{00000000-0006-0000-0700-000003000000}">
      <text>
        <r>
          <rPr>
            <b/>
            <sz val="8"/>
            <color indexed="81"/>
            <rFont val="Tahoma"/>
            <family val="2"/>
          </rPr>
          <t>Tratamiento de aguas residuales urbanas:</t>
        </r>
        <r>
          <rPr>
            <sz val="8"/>
            <color indexed="81"/>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shapeId="0" xr:uid="{00000000-0006-0000-0700-000004000000}">
      <text>
        <r>
          <rPr>
            <b/>
            <sz val="8"/>
            <color indexed="81"/>
            <rFont val="Tahoma"/>
            <family val="2"/>
          </rPr>
          <t>Tratamiento primario de aguas residuales:</t>
        </r>
        <r>
          <rPr>
            <sz val="8"/>
            <color indexed="81"/>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shapeId="0" xr:uid="{00000000-0006-0000-0700-000005000000}">
      <text>
        <r>
          <rPr>
            <b/>
            <sz val="8"/>
            <color indexed="81"/>
            <rFont val="Tahoma"/>
            <family val="2"/>
          </rPr>
          <t>Tratamiento secundario de aguas residuales:</t>
        </r>
        <r>
          <rPr>
            <sz val="8"/>
            <color indexed="81"/>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0" authorId="1" shapeId="0" xr:uid="{00000000-0006-0000-0700-00000600000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1" authorId="1" shapeId="0" xr:uid="{00000000-0006-0000-0700-000007000000}">
      <text>
        <r>
          <rPr>
            <b/>
            <sz val="8"/>
            <color indexed="81"/>
            <rFont val="Tahoma"/>
            <family val="2"/>
          </rPr>
          <t>Otras formas de tratamiento de aguas residuales:</t>
        </r>
        <r>
          <rPr>
            <sz val="8"/>
            <color indexed="81"/>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22" authorId="1" shapeId="0" xr:uid="{00000000-0006-0000-0700-000008000000}">
      <text>
        <r>
          <rPr>
            <b/>
            <sz val="8"/>
            <color indexed="81"/>
            <rFont val="Tahoma"/>
            <family val="2"/>
          </rPr>
          <t xml:space="preserve">Tratamiento primario de aguas residuales:
</t>
        </r>
        <r>
          <rPr>
            <sz val="8"/>
            <color indexed="81"/>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3" authorId="1" shapeId="0" xr:uid="{00000000-0006-0000-0700-000009000000}">
      <text>
        <r>
          <rPr>
            <b/>
            <sz val="8"/>
            <color indexed="81"/>
            <rFont val="Tahoma"/>
            <family val="2"/>
          </rPr>
          <t xml:space="preserve">Tratamiento secundario de aguas residuales:
</t>
        </r>
        <r>
          <rPr>
            <sz val="8"/>
            <color indexed="81"/>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shapeId="0" xr:uid="{00000000-0006-0000-0700-00000A00000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5" authorId="1" shapeId="0" xr:uid="{00000000-0006-0000-0700-00000B000000}">
      <text>
        <r>
          <rPr>
            <b/>
            <sz val="8"/>
            <color indexed="81"/>
            <rFont val="Tahoma"/>
            <family val="2"/>
          </rPr>
          <t>Tratamiento independiente de aguas residuales:</t>
        </r>
        <r>
          <rPr>
            <sz val="8"/>
            <color indexed="81"/>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7" authorId="2" shapeId="0" xr:uid="{00000000-0006-0000-0700-00000C000000}">
      <text>
        <r>
          <rPr>
            <b/>
            <sz val="8"/>
            <color indexed="81"/>
            <rFont val="Tahoma"/>
            <family val="2"/>
          </rPr>
          <t>Producción total de lodo de aguas residuales (material seco):</t>
        </r>
        <r>
          <rPr>
            <sz val="8"/>
            <color indexed="81"/>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User.Stat3</author>
  </authors>
  <commentList>
    <comment ref="D8" authorId="0" shapeId="0" xr:uid="{00000000-0006-0000-0800-000001000000}">
      <text>
        <r>
          <rPr>
            <b/>
            <sz val="8"/>
            <color indexed="81"/>
            <rFont val="Tahoma"/>
            <family val="2"/>
          </rPr>
          <t>Población conectada a un sistema de captación de aguas residuales :</t>
        </r>
        <r>
          <rPr>
            <sz val="8"/>
            <color indexed="81"/>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shapeId="0" xr:uid="{00000000-0006-0000-0800-000002000000}">
      <text>
        <r>
          <rPr>
            <b/>
            <sz val="8"/>
            <color indexed="81"/>
            <rFont val="Tahoma"/>
            <family val="2"/>
          </rPr>
          <t>Población conectada a servicios de tratamiento de aguas residuales:</t>
        </r>
        <r>
          <rPr>
            <sz val="8"/>
            <color indexed="81"/>
            <rFont val="Tahoma"/>
            <family val="2"/>
          </rPr>
          <t xml:space="preserve">
Porcentaje de la población residente cuyas aguas residuales se tratan en plantas de tratamiento de aguas residuales.</t>
        </r>
      </text>
    </comment>
    <comment ref="D11" authorId="0" shapeId="0" xr:uid="{00000000-0006-0000-0800-000003000000}">
      <text>
        <r>
          <rPr>
            <b/>
            <sz val="8"/>
            <color indexed="81"/>
            <rFont val="Tahoma"/>
            <family val="2"/>
          </rPr>
          <t xml:space="preserve">Población con tratamiento de aguas residuales independientes (por ejemplo, fosas sépticas):
</t>
        </r>
        <r>
          <rPr>
            <sz val="8"/>
            <color indexed="81"/>
            <rFont val="Tahoma"/>
            <family val="2"/>
          </rPr>
          <t>Porcentaje de la población residente cuyas aguas residuales se tratan en instalaciones separadas, a menudo privadas, como fosas sépticas.</t>
        </r>
      </text>
    </comment>
    <comment ref="D12" authorId="0" shapeId="0" xr:uid="{00000000-0006-0000-0800-000004000000}">
      <text>
        <r>
          <rPr>
            <b/>
            <sz val="8"/>
            <color indexed="81"/>
            <rFont val="Tahoma"/>
            <family val="2"/>
          </rPr>
          <t>Población no conectada a un sistema de tratamiento de aguas residuales:</t>
        </r>
        <r>
          <rPr>
            <sz val="8"/>
            <color indexed="81"/>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<sst xmlns="http://schemas.openxmlformats.org/spreadsheetml/2006/main" count="1646" uniqueCount="690">
  <si>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</si>
  <si>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</si>
  <si>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</si>
  <si>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</si>
  <si>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</si>
  <si>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r>
      <t xml:space="preserve"> </t>
    </r>
    <r>
      <rPr>
        <sz val="10"/>
        <rFont val="Arial"/>
        <family val="2"/>
      </rPr>
      <t>= Agua dulce extraída + agua desalinizada + agua reutilizada + importación de agua - exportación de agua.</t>
    </r>
  </si>
  <si>
    <t xml:space="preserve">Pérdidas durante el transporte </t>
  </si>
  <si>
    <t>Volumen de agua perdida durante el transporte entre un punto de extracción y un punto de utilización, y entre puntos de utilización y reutilización. Se incluyen las pérdidas por fugas y la evaporación.</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</si>
  <si>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</si>
  <si>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</si>
  <si>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</si>
  <si>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</si>
  <si>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</si>
  <si>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</si>
  <si>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</si>
  <si>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</si>
  <si>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</si>
  <si>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</si>
  <si>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</si>
  <si>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</si>
  <si>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</si>
  <si>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</si>
  <si>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</si>
  <si>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</si>
  <si>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</si>
  <si>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</si>
  <si>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</si>
  <si>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</si>
  <si>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</si>
  <si>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</si>
  <si>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</si>
  <si>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</si>
  <si>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</si>
  <si>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</si>
  <si>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</si>
  <si>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</si>
  <si>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</si>
  <si>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</si>
  <si>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</si>
  <si>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</si>
  <si>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</si>
  <si>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</si>
  <si>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</si>
  <si>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</si>
  <si>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</si>
  <si>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</si>
  <si>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</si>
  <si>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</si>
  <si>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</si>
  <si>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</si>
  <si>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</si>
  <si>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</si>
  <si>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</si>
  <si>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</si>
  <si>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</si>
  <si>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</si>
  <si>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</si>
  <si>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</si>
  <si>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</si>
  <si>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</si>
  <si>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</si>
  <si>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</si>
  <si>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</si>
  <si>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</si>
  <si>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</si>
  <si>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</si>
  <si>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</si>
  <si>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</si>
  <si>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</si>
  <si>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</si>
  <si>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</si>
  <si>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</si>
  <si>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</si>
  <si>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</si>
  <si>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</si>
  <si>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</si>
  <si>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</si>
  <si>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</si>
  <si>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</si>
  <si>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</si>
  <si>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</si>
  <si>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</si>
  <si>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</si>
  <si>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</si>
  <si>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</si>
  <si>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</si>
  <si>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</si>
  <si>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</si>
  <si>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</si>
  <si>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</si>
  <si>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</si>
  <si>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</si>
  <si>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</si>
  <si>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</si>
  <si>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</si>
  <si>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</si>
  <si>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</si>
  <si>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</si>
  <si>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</si>
  <si>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</si>
  <si>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</si>
  <si>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</si>
  <si>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</si>
  <si>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</si>
  <si>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</si>
  <si>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</si>
  <si>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</si>
  <si>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</si>
  <si>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</si>
  <si>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</si>
  <si>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</si>
  <si>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</si>
  <si>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</si>
  <si>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</si>
  <si>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</si>
  <si>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</si>
  <si>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</si>
  <si>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</si>
  <si>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</si>
  <si>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</si>
  <si>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</si>
  <si>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</si>
  <si>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</si>
  <si>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</si>
  <si>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</si>
  <si>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</si>
  <si>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</si>
  <si>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</si>
  <si>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</si>
  <si>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</si>
  <si>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</si>
  <si>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</si>
  <si>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</si>
  <si>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</si>
  <si>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</si>
  <si>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</si>
  <si>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</si>
  <si>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</si>
  <si>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</si>
  <si>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</si>
  <si>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</si>
  <si>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</si>
  <si>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W2, 21</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</si>
  <si>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</si>
  <si>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</si>
  <si>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</si>
  <si>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</si>
  <si>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</si>
  <si>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</si>
  <si>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</si>
  <si>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</si>
  <si>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</si>
  <si>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</si>
  <si>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</si>
  <si>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</si>
  <si>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</si>
  <si>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</si>
  <si>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</si>
  <si>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</si>
  <si>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Extracción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</si>
  <si>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</si>
  <si>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</si>
  <si>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</si>
  <si>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</si>
  <si>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</si>
  <si>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</si>
  <si>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</si>
  <si>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</si>
  <si>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</si>
  <si>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</si>
  <si>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 xml:space="preserve">por correo: UN Statistics Division, Environment Statistics Section, DC2-1416, 2 United Nations Plaza,  New York, New York, 10017, USA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</si>
  <si>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</si>
  <si>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</si>
  <si>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</si>
  <si>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</si>
  <si>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</si>
  <si>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</si>
  <si>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</si>
  <si>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</si>
  <si>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</si>
  <si>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</si>
  <si>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</si>
  <si>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</si>
  <si>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</si>
  <si>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</si>
  <si>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</si>
  <si>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</si>
  <si>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</si>
  <si>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</si>
  <si>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</si>
  <si>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</si>
  <si>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</si>
  <si>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</si>
  <si>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</si>
  <si>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</si>
  <si>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</si>
  <si>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</si>
  <si>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</si>
  <si>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</si>
  <si>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</si>
  <si>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</si>
  <si>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</si>
  <si>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</si>
  <si>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</si>
  <si>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</si>
  <si>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</si>
  <si>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</si>
  <si>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</si>
  <si>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</si>
  <si>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</si>
  <si>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</si>
  <si>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</si>
  <si>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</si>
  <si>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</si>
  <si>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</si>
  <si>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</si>
  <si>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</si>
  <si>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</si>
  <si>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</si>
  <si>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</si>
  <si>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</si>
  <si>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</si>
  <si>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</si>
  <si>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</si>
  <si>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</si>
  <si>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</si>
  <si>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</si>
  <si>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</si>
  <si>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</si>
  <si>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</si>
  <si>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</si>
  <si>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</si>
  <si>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</si>
  <si>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</si>
  <si>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</si>
  <si>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</si>
  <si>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</si>
  <si>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</si>
  <si>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</si>
  <si>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</si>
  <si>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</si>
  <si>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</si>
  <si>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</si>
  <si>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</si>
  <si>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</si>
  <si>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</si>
  <si>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</si>
  <si>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</si>
  <si>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</si>
  <si>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</si>
  <si>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</si>
  <si>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</si>
  <si>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</si>
  <si>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</si>
  <si>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</si>
  <si>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</si>
  <si>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</si>
  <si>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</si>
  <si>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</si>
  <si>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</si>
  <si>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</si>
  <si>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</si>
  <si>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</si>
  <si>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</si>
  <si>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</si>
  <si>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</si>
  <si>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</si>
  <si>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</si>
  <si>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</si>
  <si>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</si>
  <si>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</si>
  <si>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</si>
  <si>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</si>
  <si>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</si>
  <si>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</si>
  <si>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</si>
  <si>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</si>
  <si>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</si>
  <si>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</si>
  <si>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</si>
  <si>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</si>
  <si>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</si>
  <si>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</si>
  <si>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</si>
  <si>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</si>
  <si>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</si>
  <si>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</si>
  <si>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</si>
  <si>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</si>
  <si>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</si>
  <si>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</si>
  <si>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</si>
  <si>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</si>
  <si>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</si>
  <si>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</si>
  <si>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</si>
  <si>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</si>
  <si>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</si>
  <si>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</si>
  <si>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</si>
  <si>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</si>
  <si>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</si>
  <si>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</si>
  <si>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</si>
  <si>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</si>
  <si>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</si>
  <si>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</si>
  <si>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</si>
  <si>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</si>
  <si>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</si>
  <si>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</si>
  <si>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</si>
  <si>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</si>
  <si>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</si>
  <si>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</si>
  <si>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</si>
  <si>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</si>
  <si>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</si>
  <si>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</si>
  <si>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</si>
  <si>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</si>
  <si>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</si>
  <si>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</si>
  <si>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</si>
  <si>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</si>
  <si>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</si>
  <si>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</si>
  <si>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</si>
  <si>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</si>
  <si>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</si>
  <si>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</si>
  <si>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</si>
  <si>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</si>
  <si>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</si>
  <si>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</si>
  <si>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</si>
  <si>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</si>
  <si>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</si>
  <si>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</si>
  <si>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</si>
  <si>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</si>
  <si>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</si>
  <si>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</si>
  <si>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</si>
  <si>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</si>
  <si>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</si>
  <si>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</si>
  <si>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</si>
  <si>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</si>
  <si>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</si>
  <si>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</si>
  <si>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</si>
  <si>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</si>
  <si>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</si>
  <si>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</si>
  <si>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</si>
  <si>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</si>
  <si>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</si>
  <si>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</si>
  <si>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</si>
  <si>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</si>
  <si>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</si>
  <si>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</si>
  <si>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</si>
  <si>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</si>
  <si>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</si>
  <si>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</si>
  <si>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</si>
  <si>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</si>
  <si>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</si>
  <si>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</si>
  <si>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</si>
  <si>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</si>
  <si>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</si>
  <si>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</si>
  <si>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</si>
  <si>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</si>
  <si>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</si>
  <si>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</si>
  <si>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</si>
  <si>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</si>
  <si>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</si>
  <si>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</si>
  <si>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</si>
  <si>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</si>
  <si>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</si>
  <si>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</si>
  <si>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</si>
  <si>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</si>
  <si>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</si>
  <si>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</si>
  <si>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</si>
  <si>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</si>
  <si>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</si>
  <si>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</si>
  <si>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</si>
  <si>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</si>
  <si>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</si>
  <si>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</si>
  <si>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</si>
  <si>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</si>
  <si>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</si>
  <si>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</si>
  <si>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r>
      <rPr>
        <sz val="8"/>
        <color indexed="53"/>
        <rFont val="Arial"/>
        <family val="2"/>
      </rPr>
      <t/>
    </r>
  </si>
  <si>
    <t xml:space="preserve">Precipitación                             </t>
  </si>
  <si>
    <t>Flujo interno</t>
  </si>
  <si>
    <t>Flujo interno (=1-2)</t>
  </si>
  <si>
    <t>Recursos renovables de agua dulce (=3+4)</t>
  </si>
  <si>
    <t>• Si el valor se convierte en rojo, favor de verificar si es correcto.</t>
  </si>
  <si>
    <t>Extracción de agua dulce (=1+2)</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</si>
  <si>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</si>
  <si>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</si>
  <si>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</si>
  <si>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</si>
  <si>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</si>
  <si>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</si>
  <si>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</si>
  <si>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</si>
  <si>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</si>
  <si>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</si>
  <si>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</si>
  <si>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</si>
  <si>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</si>
  <si>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</si>
  <si>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</si>
  <si>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</si>
  <si>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</si>
  <si>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</si>
  <si>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</si>
  <si>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</si>
  <si>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</si>
  <si>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</si>
  <si>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</si>
  <si>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</si>
  <si>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</si>
  <si>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</si>
  <si>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</si>
  <si>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</si>
  <si>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</si>
  <si>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</si>
  <si>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</si>
  <si>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</si>
  <si>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</si>
  <si>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</si>
  <si>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</si>
  <si>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</si>
  <si>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</si>
  <si>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</si>
  <si>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</si>
  <si>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</si>
  <si>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</si>
  <si>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</si>
  <si>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</si>
  <si>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</si>
  <si>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</si>
  <si>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</si>
  <si>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</si>
  <si>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</si>
  <si>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</si>
  <si>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</si>
  <si>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</si>
  <si>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</si>
  <si>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</si>
  <si>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</si>
  <si>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</si>
  <si>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</si>
  <si>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</si>
  <si>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</si>
  <si>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</si>
  <si>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</si>
  <si>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</si>
  <si>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</si>
  <si>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</si>
  <si>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</si>
  <si>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</si>
  <si>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</si>
  <si>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</si>
  <si>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</si>
  <si>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</si>
  <si>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</si>
  <si>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</si>
  <si>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</si>
  <si>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</si>
  <si>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</si>
  <si>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</si>
  <si>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</si>
  <si>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</si>
  <si>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</si>
  <si>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</si>
  <si>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</si>
  <si>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</si>
  <si>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</si>
  <si>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</si>
  <si>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</si>
  <si>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</si>
  <si>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</si>
  <si>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</si>
  <si>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</si>
  <si>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</si>
  <si>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</si>
  <si>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</si>
  <si>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</si>
  <si>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</si>
  <si>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</si>
  <si>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</si>
  <si>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</si>
  <si>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</si>
  <si>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</si>
  <si>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</si>
  <si>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</si>
  <si>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</si>
  <si>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</si>
  <si>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</si>
  <si>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</si>
  <si>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</si>
  <si>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</si>
  <si>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</si>
  <si>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</si>
  <si>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</si>
  <si>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</si>
  <si>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</si>
  <si>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</si>
  <si>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</si>
  <si>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</si>
  <si>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</si>
  <si>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</si>
  <si>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</si>
  <si>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</si>
  <si>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</si>
  <si>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</si>
  <si>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</si>
  <si>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</si>
  <si>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</si>
  <si>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</si>
  <si>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</si>
  <si>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</si>
  <si>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</si>
  <si>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</si>
  <si>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</si>
  <si>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</si>
  <si>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</si>
  <si>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</si>
  <si>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</si>
  <si>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</si>
  <si>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</si>
  <si>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</si>
  <si>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</si>
  <si>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</si>
  <si>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</si>
  <si>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</si>
  <si>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</si>
  <si>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</si>
  <si>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</si>
  <si>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</si>
  <si>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</si>
  <si>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</si>
  <si>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</si>
  <si>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</si>
  <si>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</si>
  <si>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</si>
  <si>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</si>
  <si>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</si>
  <si>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</si>
  <si>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</si>
  <si>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</si>
  <si>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</si>
  <si>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</si>
  <si>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</si>
  <si>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</si>
  <si>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</si>
  <si>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CUESTIONARIO 2018 ESTADÍSTICAS AMBIENTALES</t>
  </si>
  <si>
    <t>Una referencia útil para comparar las cifras sobre los recursos hídricos es la base de datos Aquastat de la FAO:  http://www.fao.org/nr/water/aquastat/data/query/index.html?lang=es.</t>
  </si>
  <si>
    <t>por teléfono: Reena Shah en el número +1 (212) 963-4586,  Marcus Newbury en el número +1 (212) 963-0092, David Rausis en el número +1 (917) 367-5892 o Robin Carrington en el número +1 (212) 963-6234.</t>
  </si>
  <si>
    <t>Construcción</t>
  </si>
  <si>
    <t>Explotación de minas y canteras (CIIU 05-09)</t>
  </si>
  <si>
    <t>Suministro de electricidad, gas, vapor y aire acondicionado (CIIU 35)</t>
  </si>
  <si>
    <t>Construcción (CIIU 41-43)</t>
  </si>
  <si>
    <r>
      <rPr>
        <i/>
        <sz val="8"/>
        <rFont val="Arial"/>
        <family val="2"/>
      </rPr>
      <t>de la cual</t>
    </r>
    <r>
      <rPr>
        <sz val="8"/>
        <rFont val="Arial"/>
        <family val="2"/>
      </rPr>
      <t xml:space="preserve">
Irrigation in agriculture</t>
    </r>
  </si>
  <si>
    <t>de la cual
Industria de la energía eléctrica (CIIU 351)</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</si>
  <si>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</si>
  <si>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</si>
  <si>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Total de agua dulce disponible para utilización (=3+14+15+16-17)</t>
  </si>
  <si>
    <t>Utilización de agua dulce total (=18-19)</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</si>
  <si>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</si>
  <si>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</si>
  <si>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</si>
  <si>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</si>
  <si>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</si>
  <si>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</si>
  <si>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</si>
  <si>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</si>
  <si>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</si>
  <si>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</si>
  <si>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</si>
  <si>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</si>
  <si>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</si>
  <si>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</si>
  <si>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</si>
  <si>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</si>
  <si>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</si>
  <si>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</si>
  <si>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</si>
  <si>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</si>
  <si>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</si>
  <si>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</si>
  <si>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</si>
  <si>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</si>
  <si>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</si>
  <si>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</si>
  <si>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</si>
  <si>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</si>
  <si>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</si>
  <si>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</si>
  <si>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</si>
  <si>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</si>
  <si>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</si>
  <si>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</si>
  <si>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</si>
  <si>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</si>
  <si>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</si>
  <si>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</si>
  <si>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</si>
  <si>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</si>
  <si>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sz val="10"/>
        <rFont val="Arial"/>
        <family val="2"/>
      </rPr>
      <t>D</t>
    </r>
    <r>
      <rPr>
        <b/>
        <sz val="10"/>
        <rFont val="Arial"/>
        <family val="2"/>
      </rPr>
      <t xml:space="preserve"> 35</t>
    </r>
  </si>
  <si>
    <r>
      <rPr>
        <b/>
        <u/>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</si>
  <si>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</si>
  <si>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</si>
  <si>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</si>
  <si>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</si>
  <si>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</si>
  <si>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</si>
  <si>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W2, 7 &amp; W2,23</t>
  </si>
  <si>
    <t>W2,8</t>
  </si>
  <si>
    <t>Volumen de agua extraída directamente de fuentes superficiales (ríos, lagos, embalses, etc., incluido el volumen de agua de lluvia recogida) y subterráneas por parte de las unidades económicas del grupo CIIU 05-09 para su propia utilización.</t>
  </si>
  <si>
    <t>W2,10</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</si>
  <si>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</si>
  <si>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</si>
  <si>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t>W2,12</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</si>
  <si>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</si>
  <si>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</si>
  <si>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r>
      <t>W2, 15</t>
    </r>
    <r>
      <rPr>
        <b/>
        <sz val="10"/>
        <rFont val="Arial"/>
        <family val="2"/>
      </rPr>
      <t xml:space="preserve">
</t>
    </r>
  </si>
  <si>
    <t xml:space="preserve">W2, 19 &amp; W3, 2
</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</si>
  <si>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</si>
  <si>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</si>
  <si>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</si>
  <si>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</si>
  <si>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</si>
  <si>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26</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</si>
  <si>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</si>
  <si>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</si>
  <si>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</si>
  <si>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t>W2,28</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</si>
  <si>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</si>
  <si>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</si>
  <si>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</si>
  <si>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</si>
  <si>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</si>
  <si>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</si>
  <si>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</si>
  <si>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</si>
  <si>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</si>
  <si>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</si>
  <si>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</si>
  <si>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</si>
  <si>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</si>
  <si>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</si>
  <si>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</si>
  <si>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Cambios con respecto al cuestionario de la División de Estadística y el PNUMA de 2016 sobre estadísticas ambientales:</t>
  </si>
  <si>
    <t>Se agregaron variables adicionales a los cuadros W2: Extracción y utilización de agua dulce; W3: Industria del suministro de agua (CIIU 36); y W4: Generación y tratamiento de aguas residuales. Todas las variables adicionales son desgloses de varias industrias de la Clasificación Industrial Internacional Uniforme de Todas las Actividades Económicas (CIIU Rev. 4), y han sido agregadas por la demanda de la agenda de los Objetivos de Desarrollo Sostenible (ODS).</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</si>
  <si>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</si>
  <si>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</si>
  <si>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</si>
  <si>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2018. Se pide a los países que agreguen los datos correspondientes a los años posteriores y se cercioren de la coherencia de las series cronológicas. </t>
  </si>
  <si>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</si>
  <si>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r>
      <rPr>
        <i/>
        <sz val="8"/>
        <rFont val="Arial"/>
        <family val="2"/>
      </rPr>
      <t>de la cual</t>
    </r>
    <r>
      <rPr>
        <sz val="8"/>
        <rFont val="Arial"/>
        <family val="2"/>
      </rPr>
      <t xml:space="preserve"> Riego en agricultura</t>
    </r>
  </si>
  <si>
    <r>
      <t xml:space="preserve">por
    </t>
    </r>
    <r>
      <rPr>
        <sz val="8"/>
        <rFont val="Arial"/>
        <family val="2"/>
      </rPr>
      <t>Agricultura, ganadería, silvicultura y pesca (CIIU 01-03)</t>
    </r>
  </si>
  <si>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</si>
  <si>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</si>
  <si>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</si>
  <si>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</si>
  <si>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r>
      <rPr>
        <i/>
        <sz val="8"/>
        <rFont val="Arial"/>
        <family val="2"/>
      </rPr>
      <t xml:space="preserve">de la cual </t>
    </r>
    <r>
      <rPr>
        <sz val="8"/>
        <rFont val="Arial"/>
        <family val="2"/>
      </rPr>
      <t>Industria de la energía eléctrica (CIIU 351)</t>
    </r>
  </si>
  <si>
    <t>B</t>
  </si>
  <si>
    <t>C</t>
  </si>
  <si>
    <t xml:space="preserve">Fuente de esta informacion: Cuenta del agua- DANE .  En éste item se sumó el agua superficial y el agua lluvia </t>
  </si>
  <si>
    <t>Fuente de esta informacion: Cuenta del agua- DANE. Esta informacion No incluye las pérdidas por extracción y distribuccíon</t>
  </si>
  <si>
    <t>Fuente de esta informacion: Cuenta del agua- DANE . Esta información incluye el  total de las perdidas,  en extracción  y en  distribución. No estan disponibles de manera desagregada</t>
  </si>
  <si>
    <t xml:space="preserve">Fuente: Cuenta del Agua - DANE y publicados en la WEB  ( una de las fuentes de la Cuenta del Agua es la  Encuesta Ambiental Industrial del DANE).  </t>
  </si>
  <si>
    <t>En estos totales se incluye el agua residual generada por la actividad económica 57 - Alcantarillado</t>
  </si>
  <si>
    <t>Los cálculos realizados para la serie 2003 a 2014 fueron realizados por la Superintendencia de Servicios Públicos Domiciliarios – SSPD. Fuente: Departamento Administrativo Nacional de Estadística -DANE; Colombia. Número y proporción de la población con acceso a métodos de saneamiento adecuados1, según año.(Se refiere a la población que habita en viviendas con métodos de saneamiento adecuados, los cuales son: para viviendas en la cabecera municipal, Alcantarillado; para viviendas en zonas diferentes a la cabecera municipal (resto), Alcantarillado, Inodoro conectado a pozo séptico y Letrina.)</t>
  </si>
  <si>
    <t>Fuente: Departamento Administrativo Nacional de Estadística -DANE; Encuesta Continua de Hogares ECH (2001 - 2005) y Gran Encuesta Integrada de Hogares - GEIH (2007 - 2014).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</si>
</sst>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 #,##0_-;_-* &quot;-&quot;_-;_-@_-"/>
    <numFmt numFmtId="165" formatCode="_-* #,##0.00_-;\-* #,##0.00_-;_-* &quot;-&quot;??_-;_-@_-"/>
    <numFmt numFmtId="166" formatCode="_-* #,##0.00\ _€_-;\-* #,##0.00\ _€_-;_-* &quot;-&quot;??\ _€_-;_-@_-"/>
    <numFmt numFmtId="167" formatCode="0.0"/>
    <numFmt numFmtId="168" formatCode="_ * #,##0.00_ ;_ * \-#,##0.00_ ;_ * &quot;-&quot;??_ ;_ @_ "/>
  </numFmts>
  <fonts count="120" x14ac:knownFonts="1">
    <font>
      <sz val="10"/>
      <name val="Times New Roman"/>
    </font>
    <font>
      <sz val="10"/>
      <name val="Times New Roman"/>
      <family val="1"/>
    </font>
    <font>
      <b/>
      <u/>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b/>
      <sz val="1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b/>
      <sz val="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Times New Roman"/>
      <family val="1"/>
    </font>
    <font>
      <sz val="10"/>
      <color rgb="FFFF0000"/>
      <name val="Arial"/>
      <family val="2"/>
    </font>
    <font>
      <b/>
      <sz val="8"/>
      <color rgb="FFFF0000"/>
      <name val="Arial"/>
      <family val="2"/>
    </font>
    <font>
      <sz val="12"/>
      <color rgb="FFFF0000"/>
      <name val="Arial"/>
      <family val="2"/>
    </font>
    <font>
      <sz val="12"/>
      <color rgb="FFFF0000"/>
      <name val="Times New Roman"/>
      <family val="1"/>
    </font>
    <font>
      <sz val="8"/>
      <color rgb="FFFF0000"/>
      <name val="Times New Roman"/>
      <family val="1"/>
    </font>
    <font>
      <u/>
      <sz val="11"/>
      <color theme="10"/>
      <name val="Calibri"/>
      <family val="2"/>
      <scheme val="minor"/>
    </font>
    <font>
      <u/>
      <sz val="11"/>
      <color theme="10"/>
      <name val="Calibri"/>
      <family val="2"/>
    </font>
    <font>
      <sz val="8"/>
      <color rgb="FFFF0000"/>
      <name val="Arial"/>
      <family val="2"/>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22"/>
        <bgColor indexed="31"/>
      </patternFill>
    </fill>
    <fill>
      <patternFill patternType="solid">
        <fgColor indexed="44"/>
        <bgColor indexed="49"/>
      </patternFill>
    </fill>
    <fill>
      <patternFill patternType="solid">
        <fgColor indexed="42"/>
        <bgColor indexed="27"/>
      </patternFill>
    </fill>
    <fill>
      <patternFill patternType="solid">
        <fgColor indexed="4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tint="-0.249977111117893"/>
        <bgColor indexed="0"/>
      </patternFill>
    </fill>
    <fill>
      <patternFill patternType="solid">
        <fgColor theme="0" tint="-0.249977111117893"/>
        <bgColor indexed="8"/>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style="thin">
        <color indexed="64"/>
      </left>
      <right/>
      <top/>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8"/>
      </left>
      <right style="hair">
        <color indexed="8"/>
      </right>
      <top style="thin">
        <color indexed="8"/>
      </top>
      <bottom style="thin">
        <color indexed="8"/>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8"/>
      </bottom>
      <diagonal/>
    </border>
    <border>
      <left style="thin">
        <color indexed="8"/>
      </left>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8">
    <xf numFmtId="0" fontId="0" fillId="0" borderId="0"/>
    <xf numFmtId="0" fontId="73" fillId="2" borderId="0" applyNumberFormat="0" applyBorder="0" applyAlignment="0" applyProtection="0"/>
    <xf numFmtId="0" fontId="93" fillId="64" borderId="0" applyNumberFormat="0" applyBorder="0" applyAlignment="0" applyProtection="0"/>
    <xf numFmtId="0" fontId="73" fillId="3" borderId="0" applyNumberFormat="0" applyBorder="0" applyAlignment="0" applyProtection="0"/>
    <xf numFmtId="0" fontId="93" fillId="65" borderId="0" applyNumberFormat="0" applyBorder="0" applyAlignment="0" applyProtection="0"/>
    <xf numFmtId="0" fontId="73" fillId="4" borderId="0" applyNumberFormat="0" applyBorder="0" applyAlignment="0" applyProtection="0"/>
    <xf numFmtId="0" fontId="93" fillId="66" borderId="0" applyNumberFormat="0" applyBorder="0" applyAlignment="0" applyProtection="0"/>
    <xf numFmtId="0" fontId="73" fillId="5" borderId="0" applyNumberFormat="0" applyBorder="0" applyAlignment="0" applyProtection="0"/>
    <xf numFmtId="0" fontId="93" fillId="67" borderId="0" applyNumberFormat="0" applyBorder="0" applyAlignment="0" applyProtection="0"/>
    <xf numFmtId="0" fontId="93" fillId="37" borderId="0" applyNumberFormat="0" applyBorder="0" applyAlignment="0" applyProtection="0"/>
    <xf numFmtId="0" fontId="73" fillId="6" borderId="0" applyNumberFormat="0" applyBorder="0" applyAlignment="0" applyProtection="0"/>
    <xf numFmtId="0" fontId="93" fillId="38" borderId="0" applyNumberFormat="0" applyBorder="0" applyAlignment="0" applyProtection="0"/>
    <xf numFmtId="0" fontId="73" fillId="7" borderId="0" applyNumberFormat="0" applyBorder="0" applyAlignment="0" applyProtection="0"/>
    <xf numFmtId="0" fontId="93" fillId="39" borderId="0" applyNumberFormat="0" applyBorder="0" applyAlignment="0" applyProtection="0"/>
    <xf numFmtId="0" fontId="73" fillId="8" borderId="0" applyNumberFormat="0" applyBorder="0" applyAlignment="0" applyProtection="0"/>
    <xf numFmtId="0" fontId="93" fillId="40"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93" fillId="68" borderId="0" applyNumberFormat="0" applyBorder="0" applyAlignment="0" applyProtection="0"/>
    <xf numFmtId="0" fontId="93" fillId="41" borderId="0" applyNumberFormat="0" applyBorder="0" applyAlignment="0" applyProtection="0"/>
    <xf numFmtId="0" fontId="73" fillId="5" borderId="0" applyNumberFormat="0" applyBorder="0" applyAlignment="0" applyProtection="0"/>
    <xf numFmtId="0" fontId="93" fillId="42" borderId="0" applyNumberFormat="0" applyBorder="0" applyAlignment="0" applyProtection="0"/>
    <xf numFmtId="0" fontId="73" fillId="8" borderId="0" applyNumberFormat="0" applyBorder="0" applyAlignment="0" applyProtection="0"/>
    <xf numFmtId="0" fontId="93" fillId="43" borderId="0" applyNumberFormat="0" applyBorder="0" applyAlignment="0" applyProtection="0"/>
    <xf numFmtId="0" fontId="73" fillId="11" borderId="0" applyNumberFormat="0" applyBorder="0" applyAlignment="0" applyProtection="0"/>
    <xf numFmtId="0" fontId="94" fillId="44" borderId="0" applyNumberFormat="0" applyBorder="0" applyAlignment="0" applyProtection="0"/>
    <xf numFmtId="0" fontId="74" fillId="12" borderId="0" applyNumberFormat="0" applyBorder="0" applyAlignment="0" applyProtection="0"/>
    <xf numFmtId="0" fontId="94" fillId="45"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94" fillId="69" borderId="0" applyNumberFormat="0" applyBorder="0" applyAlignment="0" applyProtection="0"/>
    <xf numFmtId="0" fontId="74" fillId="13" borderId="0" applyNumberFormat="0" applyBorder="0" applyAlignment="0" applyProtection="0"/>
    <xf numFmtId="0" fontId="94" fillId="70" borderId="0" applyNumberFormat="0" applyBorder="0" applyAlignment="0" applyProtection="0"/>
    <xf numFmtId="0" fontId="94" fillId="46"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94" fillId="71" borderId="0" applyNumberFormat="0" applyBorder="0" applyAlignment="0" applyProtection="0"/>
    <xf numFmtId="0" fontId="99" fillId="56" borderId="0" applyNumberFormat="0" applyBorder="0" applyAlignment="0" applyProtection="0"/>
    <xf numFmtId="0" fontId="79" fillId="4" borderId="0" applyNumberFormat="0" applyBorder="0" applyAlignment="0" applyProtection="0"/>
    <xf numFmtId="0" fontId="96" fillId="54" borderId="104" applyNumberFormat="0" applyAlignment="0" applyProtection="0"/>
    <xf numFmtId="0" fontId="76" fillId="16" borderId="1" applyNumberFormat="0" applyAlignment="0" applyProtection="0"/>
    <xf numFmtId="0" fontId="97" fillId="55" borderId="105" applyNumberFormat="0" applyAlignment="0" applyProtection="0"/>
    <xf numFmtId="0" fontId="77" fillId="17" borderId="2" applyNumberFormat="0" applyAlignment="0" applyProtection="0"/>
    <xf numFmtId="0" fontId="104" fillId="0" borderId="109" applyNumberFormat="0" applyFill="0" applyAlignment="0" applyProtection="0"/>
    <xf numFmtId="0" fontId="84" fillId="0" borderId="3" applyNumberFormat="0" applyFill="0" applyAlignment="0" applyProtection="0"/>
    <xf numFmtId="0" fontId="102" fillId="0" borderId="0" applyNumberFormat="0" applyFill="0" applyBorder="0" applyAlignment="0" applyProtection="0"/>
    <xf numFmtId="0" fontId="82" fillId="0" borderId="0" applyNumberFormat="0" applyFill="0" applyBorder="0" applyAlignment="0" applyProtection="0"/>
    <xf numFmtId="0" fontId="94" fillId="47" borderId="0" applyNumberFormat="0" applyBorder="0" applyAlignment="0" applyProtection="0"/>
    <xf numFmtId="0" fontId="74" fillId="18" borderId="0" applyNumberFormat="0" applyBorder="0" applyAlignment="0" applyProtection="0"/>
    <xf numFmtId="0" fontId="94" fillId="48" borderId="0" applyNumberFormat="0" applyBorder="0" applyAlignment="0" applyProtection="0"/>
    <xf numFmtId="0" fontId="74" fillId="19" borderId="0" applyNumberFormat="0" applyBorder="0" applyAlignment="0" applyProtection="0"/>
    <xf numFmtId="0" fontId="94" fillId="49" borderId="0" applyNumberFormat="0" applyBorder="0" applyAlignment="0" applyProtection="0"/>
    <xf numFmtId="0" fontId="74" fillId="20" borderId="0" applyNumberFormat="0" applyBorder="0" applyAlignment="0" applyProtection="0"/>
    <xf numFmtId="0" fontId="94" fillId="50" borderId="0" applyNumberFormat="0" applyBorder="0" applyAlignment="0" applyProtection="0"/>
    <xf numFmtId="0" fontId="74" fillId="13" borderId="0" applyNumberFormat="0" applyBorder="0" applyAlignment="0" applyProtection="0"/>
    <xf numFmtId="0" fontId="94" fillId="51" borderId="0" applyNumberFormat="0" applyBorder="0" applyAlignment="0" applyProtection="0"/>
    <xf numFmtId="0" fontId="74" fillId="14" borderId="0" applyNumberFormat="0" applyBorder="0" applyAlignment="0" applyProtection="0"/>
    <xf numFmtId="0" fontId="94" fillId="52" borderId="0" applyNumberFormat="0" applyBorder="0" applyAlignment="0" applyProtection="0"/>
    <xf numFmtId="0" fontId="74" fillId="21" borderId="0" applyNumberFormat="0" applyBorder="0" applyAlignment="0" applyProtection="0"/>
    <xf numFmtId="0" fontId="103" fillId="57" borderId="104" applyNumberFormat="0" applyAlignment="0" applyProtection="0"/>
    <xf numFmtId="0" fontId="83" fillId="7" borderId="1" applyNumberFormat="0" applyAlignment="0" applyProtection="0"/>
    <xf numFmtId="0" fontId="11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17" fillId="0" borderId="0" applyNumberFormat="0" applyFill="0" applyBorder="0" applyAlignment="0" applyProtection="0"/>
    <xf numFmtId="0" fontId="91" fillId="0" borderId="0" applyNumberFormat="0" applyFill="0" applyBorder="0" applyAlignment="0" applyProtection="0"/>
    <xf numFmtId="0" fontId="95" fillId="53" borderId="0" applyNumberFormat="0" applyBorder="0" applyAlignment="0" applyProtection="0"/>
    <xf numFmtId="0" fontId="75" fillId="3" borderId="0" applyNumberFormat="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43" fontId="7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8" fontId="3" fillId="0" borderId="0" applyFont="0" applyFill="0" applyBorder="0" applyAlignment="0" applyProtection="0"/>
    <xf numFmtId="165" fontId="93" fillId="0" borderId="0" applyFont="0" applyFill="0" applyBorder="0" applyAlignment="0" applyProtection="0"/>
    <xf numFmtId="168" fontId="3" fillId="0" borderId="0" applyFont="0" applyFill="0" applyBorder="0" applyAlignment="0" applyProtection="0"/>
    <xf numFmtId="165" fontId="93" fillId="0" borderId="0" applyFont="0" applyFill="0" applyBorder="0" applyAlignment="0" applyProtection="0"/>
    <xf numFmtId="166" fontId="73" fillId="0" borderId="0" applyFont="0" applyFill="0" applyBorder="0" applyAlignment="0" applyProtection="0"/>
    <xf numFmtId="165" fontId="93" fillId="0" borderId="0" applyFont="0" applyFill="0" applyBorder="0" applyAlignment="0" applyProtection="0"/>
    <xf numFmtId="168" fontId="3" fillId="0" borderId="0" applyFont="0" applyFill="0" applyBorder="0" applyAlignment="0" applyProtection="0"/>
    <xf numFmtId="165" fontId="93" fillId="0" borderId="0" applyFont="0" applyFill="0" applyBorder="0" applyAlignment="0" applyProtection="0"/>
    <xf numFmtId="166" fontId="73" fillId="0" borderId="0" applyFont="0" applyFill="0" applyBorder="0" applyAlignment="0" applyProtection="0"/>
    <xf numFmtId="165" fontId="93" fillId="0" borderId="0" applyFont="0" applyFill="0" applyBorder="0" applyAlignment="0" applyProtection="0"/>
    <xf numFmtId="166" fontId="73" fillId="0" borderId="0" applyFont="0" applyFill="0" applyBorder="0" applyAlignment="0" applyProtection="0"/>
    <xf numFmtId="165" fontId="93" fillId="0" borderId="0" applyFont="0" applyFill="0" applyBorder="0" applyAlignment="0" applyProtection="0"/>
    <xf numFmtId="0" fontId="105" fillId="58" borderId="0" applyNumberFormat="0" applyBorder="0" applyAlignment="0" applyProtection="0"/>
    <xf numFmtId="0" fontId="85" fillId="22" borderId="0" applyNumberFormat="0" applyBorder="0" applyAlignment="0" applyProtection="0"/>
    <xf numFmtId="0" fontId="93" fillId="0" borderId="0"/>
    <xf numFmtId="0" fontId="3" fillId="0" borderId="0"/>
    <xf numFmtId="0" fontId="93" fillId="0" borderId="0"/>
    <xf numFmtId="0" fontId="3" fillId="0" borderId="0"/>
    <xf numFmtId="0" fontId="93" fillId="0" borderId="0"/>
    <xf numFmtId="0" fontId="3" fillId="0" borderId="0"/>
    <xf numFmtId="0" fontId="2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7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 fillId="0" borderId="0"/>
    <xf numFmtId="0" fontId="73" fillId="0" borderId="0"/>
    <xf numFmtId="0" fontId="9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 fillId="0" borderId="0"/>
    <xf numFmtId="0" fontId="3" fillId="0" borderId="0"/>
    <xf numFmtId="0" fontId="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3" fillId="0" borderId="0"/>
    <xf numFmtId="0" fontId="3" fillId="0" borderId="0"/>
    <xf numFmtId="0" fontId="3" fillId="0" borderId="0"/>
    <xf numFmtId="0" fontId="92" fillId="0" borderId="0"/>
    <xf numFmtId="0" fontId="93" fillId="0" borderId="0"/>
    <xf numFmtId="0" fontId="1" fillId="0" borderId="0"/>
    <xf numFmtId="0" fontId="51" fillId="0" borderId="0"/>
    <xf numFmtId="0" fontId="51" fillId="0" borderId="0"/>
    <xf numFmtId="0" fontId="73" fillId="23" borderId="4" applyNumberFormat="0" applyFont="0" applyAlignment="0" applyProtection="0"/>
    <xf numFmtId="0" fontId="93" fillId="59" borderId="110" applyNumberFormat="0" applyFont="0" applyAlignment="0" applyProtection="0"/>
    <xf numFmtId="0" fontId="93" fillId="59" borderId="110" applyNumberFormat="0" applyFont="0" applyAlignment="0" applyProtection="0"/>
    <xf numFmtId="9" fontId="3" fillId="0" borderId="0" applyFont="0" applyFill="0" applyBorder="0" applyAlignment="0" applyProtection="0"/>
    <xf numFmtId="9" fontId="93" fillId="0" borderId="0" applyFont="0" applyFill="0" applyBorder="0" applyAlignment="0" applyProtection="0"/>
    <xf numFmtId="0" fontId="106" fillId="54" borderId="111" applyNumberFormat="0" applyAlignment="0" applyProtection="0"/>
    <xf numFmtId="0" fontId="86" fillId="16" borderId="5" applyNumberFormat="0" applyAlignment="0" applyProtection="0"/>
    <xf numFmtId="0" fontId="109" fillId="0" borderId="0" applyNumberFormat="0" applyFill="0" applyBorder="0" applyAlignment="0" applyProtection="0"/>
    <xf numFmtId="0" fontId="89" fillId="0" borderId="0" applyNumberFormat="0" applyFill="0" applyBorder="0" applyAlignment="0" applyProtection="0"/>
    <xf numFmtId="0" fontId="98" fillId="0" borderId="0" applyNumberFormat="0" applyFill="0" applyBorder="0" applyAlignment="0" applyProtection="0"/>
    <xf numFmtId="0" fontId="78" fillId="0" borderId="0" applyNumberFormat="0" applyFill="0" applyBorder="0" applyAlignment="0" applyProtection="0"/>
    <xf numFmtId="0" fontId="100" fillId="0" borderId="106" applyNumberFormat="0" applyFill="0" applyAlignment="0" applyProtection="0"/>
    <xf numFmtId="0" fontId="80" fillId="0" borderId="6" applyNumberFormat="0" applyFill="0" applyAlignment="0" applyProtection="0"/>
    <xf numFmtId="0" fontId="101" fillId="0" borderId="107" applyNumberFormat="0" applyFill="0" applyAlignment="0" applyProtection="0"/>
    <xf numFmtId="0" fontId="81" fillId="0" borderId="7" applyNumberFormat="0" applyFill="0" applyAlignment="0" applyProtection="0"/>
    <xf numFmtId="0" fontId="102" fillId="0" borderId="108" applyNumberFormat="0" applyFill="0" applyAlignment="0" applyProtection="0"/>
    <xf numFmtId="0" fontId="82" fillId="0" borderId="8"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7" fillId="0" borderId="0" applyNumberFormat="0" applyFill="0" applyBorder="0" applyAlignment="0" applyProtection="0"/>
    <xf numFmtId="0" fontId="108" fillId="0" borderId="112" applyNumberFormat="0" applyFill="0" applyAlignment="0" applyProtection="0"/>
    <xf numFmtId="0" fontId="88" fillId="0" borderId="9" applyNumberFormat="0" applyFill="0" applyAlignment="0" applyProtection="0"/>
  </cellStyleXfs>
  <cellXfs count="911">
    <xf numFmtId="0" fontId="0" fillId="0" borderId="0" xfId="0"/>
    <xf numFmtId="0" fontId="2" fillId="0" borderId="0" xfId="0" applyFont="1"/>
    <xf numFmtId="0" fontId="3" fillId="0" borderId="0" xfId="0" applyFont="1"/>
    <xf numFmtId="0" fontId="7" fillId="0" borderId="0" xfId="0" applyFont="1"/>
    <xf numFmtId="0" fontId="8" fillId="0" borderId="0" xfId="0" applyFont="1"/>
    <xf numFmtId="0" fontId="3" fillId="0" borderId="0" xfId="0" applyFont="1" applyBorder="1"/>
    <xf numFmtId="0" fontId="0" fillId="0" borderId="0" xfId="0" applyBorder="1"/>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4" fillId="0" borderId="0" xfId="0" applyFont="1"/>
    <xf numFmtId="0" fontId="17" fillId="0" borderId="0" xfId="0" applyFont="1"/>
    <xf numFmtId="0" fontId="18" fillId="0" borderId="0" xfId="0" applyFont="1" applyBorder="1" applyAlignment="1">
      <alignment wrapText="1"/>
    </xf>
    <xf numFmtId="0" fontId="9" fillId="0" borderId="0" xfId="0" applyFont="1" applyFill="1" applyBorder="1" applyAlignment="1">
      <alignment horizontal="center" vertical="center"/>
    </xf>
    <xf numFmtId="0" fontId="3" fillId="0" borderId="0" xfId="0" applyFont="1" applyAlignment="1">
      <alignment vertical="top" wrapText="1"/>
    </xf>
    <xf numFmtId="0" fontId="23"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9" fillId="0" borderId="0" xfId="0" applyFont="1"/>
    <xf numFmtId="0" fontId="30" fillId="24" borderId="0" xfId="0" applyFont="1" applyFill="1"/>
    <xf numFmtId="0" fontId="3" fillId="24" borderId="0" xfId="0" applyFont="1" applyFill="1"/>
    <xf numFmtId="0" fontId="23" fillId="24" borderId="0" xfId="0" applyFont="1" applyFill="1"/>
    <xf numFmtId="0" fontId="3" fillId="25" borderId="0" xfId="0" applyFont="1" applyFill="1"/>
    <xf numFmtId="0" fontId="14" fillId="0" borderId="10" xfId="0" applyFont="1" applyBorder="1" applyProtection="1">
      <protection locked="0"/>
    </xf>
    <xf numFmtId="0" fontId="14" fillId="0" borderId="10" xfId="0" applyFont="1" applyBorder="1" applyAlignment="1" applyProtection="1">
      <alignment horizontal="center"/>
      <protection locked="0"/>
    </xf>
    <xf numFmtId="0" fontId="15" fillId="0" borderId="10" xfId="0" applyFont="1" applyBorder="1" applyProtection="1">
      <protection locked="0"/>
    </xf>
    <xf numFmtId="0" fontId="16" fillId="0" borderId="10" xfId="0" applyFont="1" applyBorder="1" applyProtection="1">
      <protection locked="0"/>
    </xf>
    <xf numFmtId="0" fontId="0" fillId="0" borderId="0" xfId="0" applyProtection="1">
      <protection locked="0"/>
    </xf>
    <xf numFmtId="0" fontId="16" fillId="0" borderId="0" xfId="0" applyFont="1" applyProtection="1">
      <protection locked="0"/>
    </xf>
    <xf numFmtId="0" fontId="15" fillId="0" borderId="0" xfId="0" applyFont="1" applyBorder="1" applyProtection="1">
      <protection locked="0"/>
    </xf>
    <xf numFmtId="0" fontId="23" fillId="0" borderId="0" xfId="0" applyFont="1" applyProtection="1">
      <protection locked="0"/>
    </xf>
    <xf numFmtId="0" fontId="5" fillId="24" borderId="0" xfId="0" applyFont="1" applyFill="1" applyProtection="1">
      <protection locked="0"/>
    </xf>
    <xf numFmtId="0" fontId="15" fillId="0" borderId="0" xfId="0" applyFont="1" applyFill="1" applyAlignment="1"/>
    <xf numFmtId="0" fontId="9"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26" borderId="0" xfId="0" applyFill="1" applyBorder="1"/>
    <xf numFmtId="0" fontId="4" fillId="0" borderId="0" xfId="152" applyFont="1" applyBorder="1" applyProtection="1">
      <protection locked="0"/>
    </xf>
    <xf numFmtId="0" fontId="0" fillId="26" borderId="0" xfId="0" applyFill="1" applyBorder="1" applyAlignment="1">
      <alignment vertical="center" wrapText="1"/>
    </xf>
    <xf numFmtId="0" fontId="5" fillId="24" borderId="0" xfId="0" applyFont="1" applyFill="1" applyAlignment="1"/>
    <xf numFmtId="0" fontId="0" fillId="26" borderId="0" xfId="0" applyFill="1"/>
    <xf numFmtId="0" fontId="46" fillId="26" borderId="0" xfId="0" applyFont="1" applyFill="1"/>
    <xf numFmtId="0" fontId="0" fillId="26" borderId="0" xfId="0" applyFill="1" applyAlignment="1">
      <alignment vertical="center" wrapText="1"/>
    </xf>
    <xf numFmtId="0" fontId="9" fillId="26" borderId="0" xfId="0" applyFont="1" applyFill="1" applyBorder="1" applyAlignment="1">
      <alignment horizontal="center" vertical="center" wrapText="1"/>
    </xf>
    <xf numFmtId="0" fontId="0" fillId="0" borderId="0" xfId="0" applyFont="1"/>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35" fillId="0" borderId="0" xfId="0" applyNumberFormat="1" applyFont="1" applyBorder="1" applyAlignment="1" applyProtection="1">
      <alignment horizontal="left" vertical="center"/>
      <protection locked="0"/>
    </xf>
    <xf numFmtId="0" fontId="20" fillId="0" borderId="0" xfId="0" applyFont="1" applyFill="1"/>
    <xf numFmtId="0" fontId="0" fillId="27" borderId="11" xfId="0" applyFill="1" applyBorder="1" applyAlignment="1">
      <alignment vertical="center" wrapText="1"/>
    </xf>
    <xf numFmtId="0" fontId="44" fillId="27" borderId="12" xfId="0" applyFont="1" applyFill="1" applyBorder="1"/>
    <xf numFmtId="0" fontId="0" fillId="27" borderId="12" xfId="0" applyFill="1" applyBorder="1"/>
    <xf numFmtId="0" fontId="45" fillId="27" borderId="12" xfId="0" applyFont="1" applyFill="1" applyBorder="1"/>
    <xf numFmtId="0" fontId="0" fillId="27" borderId="13" xfId="0" applyFill="1" applyBorder="1"/>
    <xf numFmtId="0" fontId="0" fillId="27" borderId="14" xfId="0" applyFill="1" applyBorder="1" applyAlignment="1">
      <alignment vertical="center" wrapText="1"/>
    </xf>
    <xf numFmtId="0" fontId="0" fillId="27" borderId="15" xfId="0" applyFill="1" applyBorder="1"/>
    <xf numFmtId="0" fontId="0" fillId="27" borderId="16" xfId="0" applyFill="1" applyBorder="1" applyAlignment="1">
      <alignment vertical="center" wrapText="1"/>
    </xf>
    <xf numFmtId="0" fontId="0" fillId="27" borderId="17" xfId="0" applyFill="1" applyBorder="1"/>
    <xf numFmtId="0" fontId="0" fillId="27" borderId="18" xfId="0" applyFill="1" applyBorder="1"/>
    <xf numFmtId="0" fontId="0" fillId="27" borderId="12" xfId="0" applyFill="1" applyBorder="1" applyAlignment="1">
      <alignment vertical="center" wrapText="1"/>
    </xf>
    <xf numFmtId="0" fontId="0" fillId="27" borderId="17" xfId="0" applyFill="1" applyBorder="1" applyAlignment="1">
      <alignment vertical="center" wrapText="1"/>
    </xf>
    <xf numFmtId="0" fontId="0" fillId="26" borderId="19" xfId="0" applyFill="1" applyBorder="1" applyAlignment="1">
      <alignment vertical="center" wrapText="1"/>
    </xf>
    <xf numFmtId="0" fontId="0" fillId="26" borderId="20" xfId="0" applyFill="1" applyBorder="1" applyAlignment="1">
      <alignment vertical="center" wrapText="1"/>
    </xf>
    <xf numFmtId="0" fontId="0" fillId="26" borderId="20" xfId="0" applyFill="1" applyBorder="1"/>
    <xf numFmtId="0" fontId="0" fillId="0" borderId="20" xfId="0" applyFill="1" applyBorder="1"/>
    <xf numFmtId="0" fontId="0" fillId="26" borderId="21" xfId="0" applyFill="1" applyBorder="1"/>
    <xf numFmtId="0" fontId="0" fillId="26" borderId="22" xfId="0" applyFill="1" applyBorder="1" applyAlignment="1">
      <alignment vertical="center" wrapText="1"/>
    </xf>
    <xf numFmtId="0" fontId="0" fillId="26" borderId="23" xfId="0" applyFill="1" applyBorder="1"/>
    <xf numFmtId="0" fontId="0" fillId="0" borderId="23" xfId="0" applyFill="1" applyBorder="1" applyAlignment="1">
      <alignment vertical="center" wrapText="1"/>
    </xf>
    <xf numFmtId="0" fontId="0" fillId="26" borderId="24" xfId="0" applyFill="1" applyBorder="1" applyAlignment="1">
      <alignment vertical="center" wrapText="1"/>
    </xf>
    <xf numFmtId="0" fontId="0" fillId="26" borderId="25" xfId="0" applyFill="1" applyBorder="1"/>
    <xf numFmtId="0" fontId="0" fillId="26" borderId="26" xfId="0" applyFill="1" applyBorder="1"/>
    <xf numFmtId="0" fontId="9" fillId="28" borderId="27" xfId="0" applyFont="1" applyFill="1" applyBorder="1" applyAlignment="1" applyProtection="1">
      <alignment horizontal="center" vertical="center" wrapText="1"/>
    </xf>
    <xf numFmtId="0" fontId="9" fillId="28" borderId="28" xfId="0" applyFont="1" applyFill="1" applyBorder="1" applyAlignment="1" applyProtection="1">
      <alignment horizontal="center" vertical="center" wrapText="1"/>
    </xf>
    <xf numFmtId="0" fontId="9" fillId="28" borderId="29" xfId="0" applyFont="1" applyFill="1" applyBorder="1" applyAlignment="1" applyProtection="1">
      <alignment horizontal="center" vertical="center"/>
    </xf>
    <xf numFmtId="0" fontId="9" fillId="28" borderId="29" xfId="0" applyFont="1" applyFill="1" applyBorder="1" applyAlignment="1" applyProtection="1">
      <alignment horizontal="center" vertical="center" wrapText="1"/>
    </xf>
    <xf numFmtId="0" fontId="9" fillId="26" borderId="0" xfId="0" applyFont="1" applyFill="1" applyBorder="1" applyAlignment="1">
      <alignment horizontal="center"/>
    </xf>
    <xf numFmtId="0" fontId="9" fillId="29" borderId="30" xfId="0" applyFont="1" applyFill="1" applyBorder="1" applyAlignment="1">
      <alignment horizontal="center" vertical="center" wrapText="1"/>
    </xf>
    <xf numFmtId="0" fontId="9" fillId="0" borderId="0" xfId="0" applyFont="1" applyBorder="1" applyAlignment="1">
      <alignment horizontal="center"/>
    </xf>
    <xf numFmtId="0" fontId="45" fillId="26" borderId="0" xfId="0" applyFont="1" applyFill="1" applyBorder="1" applyAlignment="1">
      <alignment horizontal="center"/>
    </xf>
    <xf numFmtId="0" fontId="9" fillId="3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7" fillId="0" borderId="0" xfId="0" applyFont="1"/>
    <xf numFmtId="0" fontId="47" fillId="0" borderId="0" xfId="0" applyFont="1" applyFill="1"/>
    <xf numFmtId="0" fontId="5" fillId="0" borderId="0" xfId="0" applyFont="1" applyFill="1" applyAlignment="1"/>
    <xf numFmtId="0" fontId="0" fillId="0" borderId="0" xfId="0" applyFill="1" applyBorder="1" applyAlignment="1">
      <alignment vertical="center" wrapText="1"/>
    </xf>
    <xf numFmtId="0" fontId="3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28" borderId="31" xfId="0" applyFont="1" applyFill="1" applyBorder="1" applyAlignment="1" applyProtection="1">
      <alignment horizontal="center" vertical="center" wrapText="1"/>
    </xf>
    <xf numFmtId="0" fontId="9" fillId="28" borderId="28" xfId="0" applyFont="1" applyFill="1" applyBorder="1" applyAlignment="1" applyProtection="1">
      <alignment horizontal="center" vertical="center"/>
    </xf>
    <xf numFmtId="0" fontId="9" fillId="28" borderId="0" xfId="0" applyFont="1" applyFill="1" applyBorder="1" applyAlignment="1" applyProtection="1">
      <alignment horizontal="center" vertical="center"/>
    </xf>
    <xf numFmtId="0" fontId="9" fillId="28" borderId="27" xfId="0" applyFont="1" applyFill="1" applyBorder="1" applyAlignment="1" applyProtection="1">
      <alignment horizontal="center" vertical="center"/>
    </xf>
    <xf numFmtId="0" fontId="9" fillId="28" borderId="28" xfId="0" applyFont="1" applyFill="1" applyBorder="1" applyAlignment="1" applyProtection="1">
      <alignment horizontal="center"/>
    </xf>
    <xf numFmtId="0" fontId="60" fillId="0" borderId="0" xfId="0" applyFont="1" applyFill="1" applyAlignment="1">
      <alignment vertical="top"/>
    </xf>
    <xf numFmtId="0" fontId="4" fillId="0" borderId="0" xfId="0" applyFont="1" applyFill="1" applyAlignment="1">
      <alignment horizontal="center" vertical="top"/>
    </xf>
    <xf numFmtId="0" fontId="28" fillId="0" borderId="0" xfId="0" applyFont="1" applyFill="1" applyAlignment="1">
      <alignment horizontal="center"/>
    </xf>
    <xf numFmtId="0" fontId="61" fillId="0" borderId="0" xfId="0" applyFont="1" applyFill="1"/>
    <xf numFmtId="0" fontId="61" fillId="0" borderId="0" xfId="0" applyFont="1" applyFill="1" applyBorder="1" applyAlignment="1">
      <alignment vertical="top" wrapText="1"/>
    </xf>
    <xf numFmtId="0" fontId="61" fillId="0" borderId="0" xfId="0" applyFont="1" applyFill="1" applyAlignment="1">
      <alignment horizontal="center" vertical="center"/>
    </xf>
    <xf numFmtId="0" fontId="1" fillId="0" borderId="0" xfId="0" applyFont="1" applyFill="1" applyBorder="1" applyAlignment="1">
      <alignment vertical="center" wrapText="1"/>
    </xf>
    <xf numFmtId="0" fontId="6" fillId="28" borderId="27" xfId="0" applyFont="1" applyFill="1" applyBorder="1" applyAlignment="1" applyProtection="1">
      <alignment horizontal="center" vertical="center" wrapText="1"/>
    </xf>
    <xf numFmtId="0" fontId="64" fillId="0" borderId="0" xfId="0" applyFont="1" applyFill="1"/>
    <xf numFmtId="0" fontId="35"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9" fillId="0" borderId="10" xfId="0" applyFont="1" applyFill="1" applyBorder="1" applyAlignment="1">
      <alignment horizontal="center" vertical="center" wrapText="1"/>
    </xf>
    <xf numFmtId="0" fontId="40" fillId="0" borderId="32" xfId="0" applyFont="1" applyFill="1" applyBorder="1" applyAlignment="1">
      <alignment vertical="top" wrapText="1"/>
    </xf>
    <xf numFmtId="0" fontId="4" fillId="0" borderId="0" xfId="0" applyFont="1" applyFill="1" applyBorder="1" applyAlignment="1">
      <alignment horizontal="center" vertical="center"/>
    </xf>
    <xf numFmtId="0" fontId="9" fillId="28" borderId="0" xfId="0" applyFont="1" applyFill="1" applyBorder="1" applyAlignment="1" applyProtection="1">
      <alignment horizontal="center" vertical="center" wrapText="1"/>
    </xf>
    <xf numFmtId="0" fontId="9" fillId="28" borderId="33" xfId="0" applyFont="1" applyFill="1" applyBorder="1" applyAlignment="1" applyProtection="1">
      <alignment horizontal="center" vertical="center"/>
    </xf>
    <xf numFmtId="0" fontId="9" fillId="28" borderId="34" xfId="0" applyFont="1" applyFill="1" applyBorder="1" applyAlignment="1" applyProtection="1">
      <alignment horizontal="center" vertical="center"/>
    </xf>
    <xf numFmtId="0" fontId="9" fillId="28" borderId="35" xfId="0" applyFont="1" applyFill="1" applyBorder="1" applyAlignment="1" applyProtection="1">
      <alignment horizontal="center" vertical="center"/>
    </xf>
    <xf numFmtId="0" fontId="5" fillId="26" borderId="0" xfId="0" applyFont="1" applyFill="1" applyBorder="1"/>
    <xf numFmtId="0" fontId="5" fillId="26" borderId="0" xfId="0" applyFont="1" applyFill="1" applyBorder="1" applyAlignment="1">
      <alignment wrapText="1"/>
    </xf>
    <xf numFmtId="0" fontId="14" fillId="26" borderId="36" xfId="0" applyFont="1" applyFill="1" applyBorder="1"/>
    <xf numFmtId="0" fontId="14" fillId="26" borderId="0" xfId="0" applyFont="1" applyFill="1" applyBorder="1"/>
    <xf numFmtId="0" fontId="7" fillId="26" borderId="0" xfId="0" applyFont="1" applyFill="1"/>
    <xf numFmtId="0" fontId="14" fillId="26" borderId="10" xfId="0" applyFont="1" applyFill="1" applyBorder="1"/>
    <xf numFmtId="0" fontId="12" fillId="26" borderId="0" xfId="0" applyFont="1" applyFill="1"/>
    <xf numFmtId="0" fontId="2" fillId="0" borderId="0" xfId="0" applyFont="1" applyFill="1"/>
    <xf numFmtId="0" fontId="3" fillId="0" borderId="0" xfId="0" applyFont="1" applyFill="1" applyBorder="1" applyAlignment="1">
      <alignment wrapText="1"/>
    </xf>
    <xf numFmtId="0" fontId="4" fillId="0" borderId="0" xfId="0" applyFont="1" applyFill="1" applyBorder="1"/>
    <xf numFmtId="0" fontId="3" fillId="0" borderId="0" xfId="0" applyFont="1" applyFill="1" applyBorder="1"/>
    <xf numFmtId="0" fontId="23" fillId="0" borderId="0" xfId="0" applyFont="1" applyFill="1"/>
    <xf numFmtId="0" fontId="23" fillId="0" borderId="0" xfId="0" applyFont="1" applyFill="1" applyAlignment="1">
      <alignment wrapText="1"/>
    </xf>
    <xf numFmtId="0" fontId="3" fillId="0" borderId="0" xfId="0" applyNumberFormat="1" applyFont="1" applyFill="1" applyAlignment="1">
      <alignment vertical="top" wrapText="1"/>
    </xf>
    <xf numFmtId="0" fontId="3" fillId="0" borderId="0" xfId="0" applyFont="1" applyFill="1" applyAlignment="1">
      <alignment vertical="center" wrapText="1"/>
    </xf>
    <xf numFmtId="0" fontId="20" fillId="0" borderId="0" xfId="0" applyNumberFormat="1" applyFont="1" applyFill="1" applyBorder="1" applyAlignment="1">
      <alignment horizontal="left" vertical="top" wrapText="1"/>
    </xf>
    <xf numFmtId="0" fontId="20"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xf>
    <xf numFmtId="0" fontId="19" fillId="0" borderId="0" xfId="0" applyFont="1" applyFill="1" applyAlignment="1">
      <alignment horizontal="left" vertical="top" wrapText="1" indent="4"/>
    </xf>
    <xf numFmtId="0" fontId="3" fillId="0" borderId="0" xfId="0" applyFont="1" applyFill="1" applyBorder="1" applyAlignment="1">
      <alignment horizontal="left" vertical="top" wrapText="1"/>
    </xf>
    <xf numFmtId="0" fontId="19"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3" fillId="0" borderId="0" xfId="0" applyFont="1" applyFill="1" applyAlignment="1">
      <alignment horizontal="left" vertical="center" wrapText="1"/>
    </xf>
    <xf numFmtId="0" fontId="15"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top" indent="4"/>
    </xf>
    <xf numFmtId="0" fontId="32"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0" fillId="0" borderId="0" xfId="0" applyFont="1" applyFill="1" applyAlignment="1">
      <alignment vertical="top" wrapText="1"/>
    </xf>
    <xf numFmtId="0" fontId="0" fillId="0" borderId="0" xfId="0" applyFill="1" applyAlignment="1">
      <alignmen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3" fillId="0" borderId="37" xfId="0" applyFont="1" applyFill="1" applyBorder="1" applyAlignment="1">
      <alignment horizontal="center" vertical="top" wrapText="1"/>
    </xf>
    <xf numFmtId="0" fontId="12" fillId="0" borderId="0" xfId="0" applyFont="1" applyFill="1" applyAlignment="1">
      <alignment vertical="top" wrapText="1"/>
    </xf>
    <xf numFmtId="0" fontId="5" fillId="0" borderId="0" xfId="0" applyFont="1" applyFill="1" applyAlignment="1">
      <alignment vertical="top" wrapText="1"/>
    </xf>
    <xf numFmtId="0" fontId="4" fillId="0" borderId="38" xfId="0" applyFont="1" applyFill="1" applyBorder="1" applyAlignment="1">
      <alignment horizontal="center" vertical="center" wrapText="1"/>
    </xf>
    <xf numFmtId="0" fontId="2" fillId="0" borderId="39" xfId="0" applyFont="1" applyFill="1" applyBorder="1" applyAlignment="1">
      <alignment horizontal="left" vertical="top" wrapText="1"/>
    </xf>
    <xf numFmtId="0" fontId="4" fillId="0" borderId="30" xfId="0" applyFont="1" applyFill="1" applyBorder="1" applyAlignment="1">
      <alignment vertical="top" wrapText="1"/>
    </xf>
    <xf numFmtId="0" fontId="3" fillId="0" borderId="40" xfId="0" applyFont="1" applyFill="1" applyBorder="1" applyAlignment="1">
      <alignment vertical="top" wrapText="1"/>
    </xf>
    <xf numFmtId="0" fontId="4" fillId="0" borderId="41" xfId="0" applyFont="1" applyFill="1" applyBorder="1" applyAlignment="1">
      <alignment vertical="top" wrapText="1"/>
    </xf>
    <xf numFmtId="0" fontId="2" fillId="0" borderId="39" xfId="0" applyFont="1" applyFill="1" applyBorder="1" applyAlignment="1">
      <alignment vertical="top" wrapText="1"/>
    </xf>
    <xf numFmtId="0" fontId="3" fillId="0" borderId="40" xfId="0" applyNumberFormat="1" applyFont="1" applyFill="1" applyBorder="1" applyAlignment="1">
      <alignment vertical="top" wrapText="1"/>
    </xf>
    <xf numFmtId="0" fontId="4" fillId="0" borderId="0" xfId="0" applyFont="1" applyFill="1" applyAlignment="1">
      <alignment vertical="top"/>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39" xfId="0" applyFont="1" applyFill="1" applyBorder="1" applyAlignment="1">
      <alignment horizontal="left" vertical="top"/>
    </xf>
    <xf numFmtId="0" fontId="3" fillId="0" borderId="40" xfId="0" applyFont="1" applyFill="1" applyBorder="1" applyAlignment="1" applyProtection="1">
      <alignment horizontal="justify" vertical="top" wrapText="1"/>
    </xf>
    <xf numFmtId="0" fontId="3" fillId="0" borderId="4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9" xfId="0" applyFont="1" applyFill="1" applyBorder="1" applyAlignment="1">
      <alignment vertical="top"/>
    </xf>
    <xf numFmtId="0" fontId="3" fillId="0" borderId="40" xfId="0" applyFont="1" applyFill="1" applyBorder="1" applyAlignment="1" applyProtection="1">
      <alignment vertical="top" wrapText="1"/>
    </xf>
    <xf numFmtId="0" fontId="3" fillId="0" borderId="40" xfId="0" applyNumberFormat="1" applyFont="1" applyFill="1" applyBorder="1" applyAlignment="1">
      <alignment horizontal="left" vertical="top" wrapText="1"/>
    </xf>
    <xf numFmtId="0" fontId="4" fillId="0" borderId="39" xfId="0" applyFont="1" applyFill="1" applyBorder="1" applyAlignment="1">
      <alignment vertical="top" wrapText="1"/>
    </xf>
    <xf numFmtId="0" fontId="3" fillId="0" borderId="30" xfId="0" applyFont="1" applyFill="1" applyBorder="1" applyAlignment="1">
      <alignment vertical="top" wrapText="1"/>
    </xf>
    <xf numFmtId="0" fontId="6" fillId="0" borderId="40" xfId="0" applyFont="1" applyFill="1" applyBorder="1" applyAlignment="1">
      <alignment vertical="top" wrapText="1"/>
    </xf>
    <xf numFmtId="0" fontId="4"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4" fillId="0" borderId="47" xfId="0" applyFont="1" applyFill="1" applyBorder="1" applyAlignment="1">
      <alignment vertical="top" wrapText="1"/>
    </xf>
    <xf numFmtId="0" fontId="4" fillId="0" borderId="48" xfId="0" applyFont="1" applyFill="1" applyBorder="1" applyAlignment="1">
      <alignment vertical="top" wrapText="1"/>
    </xf>
    <xf numFmtId="0" fontId="3" fillId="0" borderId="48" xfId="0" applyFont="1" applyFill="1" applyBorder="1" applyAlignment="1">
      <alignment vertical="top" wrapText="1"/>
    </xf>
    <xf numFmtId="0" fontId="4" fillId="0" borderId="48" xfId="0" applyFont="1" applyFill="1" applyBorder="1" applyAlignment="1">
      <alignment horizontal="left" vertical="top" wrapText="1"/>
    </xf>
    <xf numFmtId="0" fontId="3" fillId="0" borderId="49" xfId="0" applyNumberFormat="1" applyFont="1" applyFill="1" applyBorder="1" applyAlignment="1">
      <alignment horizontal="left" vertical="top" wrapText="1"/>
    </xf>
    <xf numFmtId="0" fontId="4" fillId="0" borderId="16" xfId="0" applyFont="1" applyFill="1" applyBorder="1" applyAlignment="1">
      <alignment vertical="top"/>
    </xf>
    <xf numFmtId="0" fontId="4" fillId="0" borderId="50" xfId="0" applyFont="1" applyFill="1" applyBorder="1" applyAlignment="1">
      <alignment horizontal="left" vertical="top" wrapText="1"/>
    </xf>
    <xf numFmtId="0" fontId="3" fillId="0" borderId="51" xfId="0" applyNumberFormat="1" applyFont="1" applyFill="1" applyBorder="1" applyAlignment="1">
      <alignment horizontal="left" vertical="top" wrapText="1"/>
    </xf>
    <xf numFmtId="0" fontId="4" fillId="0" borderId="0" xfId="152" applyFont="1" applyFill="1" applyBorder="1"/>
    <xf numFmtId="0" fontId="4" fillId="0" borderId="0" xfId="152" applyFont="1" applyFill="1" applyBorder="1" applyAlignment="1">
      <alignment horizontal="center"/>
    </xf>
    <xf numFmtId="0" fontId="4" fillId="0" borderId="0" xfId="0" applyFont="1" applyFill="1" applyBorder="1" applyAlignment="1">
      <alignment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center" vertical="center" wrapText="1"/>
    </xf>
    <xf numFmtId="49" fontId="2" fillId="0" borderId="55" xfId="0" applyNumberFormat="1" applyFont="1" applyFill="1" applyBorder="1" applyAlignment="1">
      <alignment vertical="top" wrapText="1"/>
    </xf>
    <xf numFmtId="0" fontId="3" fillId="0" borderId="56" xfId="0" applyFont="1" applyFill="1" applyBorder="1" applyAlignment="1">
      <alignment vertical="top" wrapText="1"/>
    </xf>
    <xf numFmtId="0" fontId="4" fillId="0" borderId="50" xfId="0" applyFont="1" applyFill="1" applyBorder="1" applyAlignment="1">
      <alignment vertical="top" wrapText="1"/>
    </xf>
    <xf numFmtId="0" fontId="4" fillId="0" borderId="51" xfId="0" applyFont="1" applyFill="1" applyBorder="1" applyAlignment="1">
      <alignment vertical="top" wrapText="1"/>
    </xf>
    <xf numFmtId="0" fontId="0" fillId="28" borderId="0" xfId="0" applyFill="1" applyAlignment="1" applyProtection="1">
      <alignment horizontal="center"/>
    </xf>
    <xf numFmtId="0" fontId="10" fillId="28" borderId="0" xfId="0" applyFont="1" applyFill="1" applyAlignment="1" applyProtection="1">
      <alignment horizontal="right"/>
    </xf>
    <xf numFmtId="0" fontId="5" fillId="24" borderId="0" xfId="0" applyFont="1" applyFill="1" applyProtection="1"/>
    <xf numFmtId="0" fontId="24" fillId="24" borderId="0" xfId="0" applyFont="1" applyFill="1" applyAlignment="1" applyProtection="1">
      <alignment horizontal="center"/>
    </xf>
    <xf numFmtId="0" fontId="25" fillId="24" borderId="0" xfId="0" applyFont="1" applyFill="1" applyBorder="1" applyAlignment="1" applyProtection="1">
      <alignment wrapText="1"/>
    </xf>
    <xf numFmtId="0" fontId="25" fillId="24" borderId="0" xfId="0" applyFont="1" applyFill="1" applyBorder="1" applyProtection="1"/>
    <xf numFmtId="0" fontId="28" fillId="24" borderId="0" xfId="0" applyFont="1" applyFill="1" applyAlignment="1" applyProtection="1">
      <alignment horizontal="center" vertical="center"/>
    </xf>
    <xf numFmtId="0" fontId="34" fillId="24" borderId="0" xfId="0" applyFont="1" applyFill="1" applyAlignment="1" applyProtection="1">
      <alignment horizontal="left" vertical="center" wrapText="1"/>
    </xf>
    <xf numFmtId="0" fontId="28" fillId="24" borderId="0" xfId="0" applyFont="1" applyFill="1" applyAlignment="1" applyProtection="1">
      <alignment horizontal="center" vertical="center" wrapText="1"/>
    </xf>
    <xf numFmtId="0" fontId="3" fillId="24" borderId="0" xfId="0" applyFont="1" applyFill="1" applyProtection="1"/>
    <xf numFmtId="0" fontId="0" fillId="24" borderId="0" xfId="0" applyFill="1" applyProtection="1"/>
    <xf numFmtId="0" fontId="0" fillId="28" borderId="0" xfId="0" applyFill="1" applyProtection="1"/>
    <xf numFmtId="0" fontId="48" fillId="28" borderId="0" xfId="0" applyFont="1" applyFill="1" applyBorder="1" applyAlignment="1" applyProtection="1">
      <alignment horizontal="left"/>
    </xf>
    <xf numFmtId="0" fontId="0" fillId="0" borderId="0" xfId="0" applyProtection="1"/>
    <xf numFmtId="0" fontId="5" fillId="0" borderId="0" xfId="0" applyFont="1" applyFill="1" applyProtection="1"/>
    <xf numFmtId="0" fontId="24" fillId="0" borderId="0" xfId="0" applyFont="1" applyFill="1" applyAlignment="1" applyProtection="1">
      <alignment horizontal="center"/>
    </xf>
    <xf numFmtId="0" fontId="25" fillId="0" borderId="0" xfId="0" applyFont="1" applyFill="1" applyBorder="1" applyAlignment="1" applyProtection="1">
      <alignment wrapText="1"/>
    </xf>
    <xf numFmtId="0" fontId="25" fillId="0" borderId="0" xfId="0" applyFont="1" applyFill="1" applyProtection="1"/>
    <xf numFmtId="0" fontId="28"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28"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4" fillId="0" borderId="10" xfId="0" applyFont="1" applyFill="1" applyBorder="1" applyProtection="1"/>
    <xf numFmtId="0" fontId="9" fillId="0" borderId="10" xfId="0" applyFont="1" applyFill="1" applyBorder="1" applyAlignment="1" applyProtection="1">
      <alignment horizontal="center" vertical="center"/>
    </xf>
    <xf numFmtId="0" fontId="35" fillId="0" borderId="10"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wrapText="1"/>
    </xf>
    <xf numFmtId="0" fontId="3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0" fillId="0" borderId="0" xfId="0" applyFill="1" applyBorder="1" applyProtection="1"/>
    <xf numFmtId="0" fontId="53" fillId="28" borderId="0" xfId="0" applyFont="1" applyFill="1" applyProtection="1"/>
    <xf numFmtId="0" fontId="46" fillId="28" borderId="0" xfId="0" applyFont="1" applyFill="1" applyProtection="1"/>
    <xf numFmtId="0" fontId="1" fillId="28" borderId="0" xfId="0" applyFont="1" applyFill="1" applyAlignment="1" applyProtection="1">
      <alignment horizontal="center"/>
    </xf>
    <xf numFmtId="0" fontId="3" fillId="25" borderId="0" xfId="0" applyFont="1" applyFill="1" applyBorder="1" applyProtection="1"/>
    <xf numFmtId="0" fontId="1" fillId="25" borderId="0" xfId="0" applyFont="1" applyFill="1" applyBorder="1" applyProtection="1"/>
    <xf numFmtId="0" fontId="1" fillId="28" borderId="0" xfId="0" applyFont="1" applyFill="1" applyProtection="1"/>
    <xf numFmtId="0" fontId="53" fillId="28"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9" fillId="0" borderId="0" xfId="0" applyFont="1" applyAlignment="1" applyProtection="1">
      <alignment horizontal="center" vertical="center"/>
    </xf>
    <xf numFmtId="0" fontId="35"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Fill="1" applyAlignment="1" applyProtection="1">
      <alignment horizontal="center" vertical="center"/>
    </xf>
    <xf numFmtId="0" fontId="43" fillId="0" borderId="10" xfId="0" applyFont="1" applyFill="1" applyBorder="1" applyAlignment="1" applyProtection="1"/>
    <xf numFmtId="0" fontId="40" fillId="0" borderId="10" xfId="0" applyFont="1" applyFill="1" applyBorder="1" applyAlignment="1" applyProtection="1">
      <alignment horizontal="right"/>
    </xf>
    <xf numFmtId="0" fontId="0" fillId="0" borderId="0" xfId="0" applyFill="1" applyAlignment="1" applyProtection="1"/>
    <xf numFmtId="0" fontId="54" fillId="28" borderId="0" xfId="0" applyFont="1" applyFill="1" applyProtection="1"/>
    <xf numFmtId="0" fontId="70" fillId="31" borderId="41" xfId="153" applyFont="1" applyFill="1" applyBorder="1" applyAlignment="1" applyProtection="1">
      <alignment horizontal="center"/>
    </xf>
    <xf numFmtId="0" fontId="70" fillId="31" borderId="41" xfId="153" applyFont="1" applyFill="1" applyBorder="1" applyAlignment="1" applyProtection="1">
      <alignment horizontal="center" wrapText="1"/>
    </xf>
    <xf numFmtId="0" fontId="10" fillId="28" borderId="0" xfId="0" applyFont="1" applyFill="1" applyAlignment="1" applyProtection="1">
      <alignment horizontal="center" vertical="center"/>
    </xf>
    <xf numFmtId="0" fontId="10" fillId="28" borderId="0" xfId="0" applyFont="1" applyFill="1" applyAlignment="1" applyProtection="1">
      <alignment horizontal="right" vertical="center"/>
    </xf>
    <xf numFmtId="0" fontId="6" fillId="28" borderId="57" xfId="0" applyFont="1" applyFill="1" applyBorder="1" applyAlignment="1" applyProtection="1">
      <alignment horizontal="center" vertical="center" wrapText="1"/>
    </xf>
    <xf numFmtId="0" fontId="6" fillId="28" borderId="57" xfId="0" applyFont="1" applyFill="1" applyBorder="1" applyAlignment="1" applyProtection="1">
      <alignment horizontal="center" vertical="center"/>
    </xf>
    <xf numFmtId="0" fontId="37" fillId="28" borderId="57" xfId="0" applyFont="1" applyFill="1" applyBorder="1" applyAlignment="1" applyProtection="1">
      <alignment horizontal="left" vertical="center" wrapText="1"/>
    </xf>
    <xf numFmtId="0" fontId="10" fillId="0" borderId="0" xfId="0" applyFont="1" applyAlignment="1" applyProtection="1">
      <alignment horizontal="center" vertical="center"/>
    </xf>
    <xf numFmtId="0" fontId="70" fillId="32" borderId="4" xfId="154" applyFont="1" applyFill="1" applyBorder="1" applyAlignment="1" applyProtection="1">
      <alignment horizontal="right" wrapText="1"/>
    </xf>
    <xf numFmtId="0" fontId="0" fillId="28" borderId="0" xfId="0" applyFill="1" applyAlignment="1" applyProtection="1">
      <alignment horizontal="center" vertical="center"/>
    </xf>
    <xf numFmtId="0" fontId="9" fillId="28" borderId="0" xfId="0" applyFont="1" applyFill="1" applyAlignment="1" applyProtection="1">
      <alignment horizontal="right" vertical="center" wrapText="1"/>
    </xf>
    <xf numFmtId="0" fontId="9" fillId="0" borderId="27" xfId="0" applyFont="1" applyBorder="1" applyAlignment="1" applyProtection="1">
      <alignment horizontal="center" vertical="center"/>
    </xf>
    <xf numFmtId="0" fontId="9" fillId="0" borderId="27" xfId="0" applyFont="1" applyBorder="1" applyAlignment="1" applyProtection="1">
      <alignment horizontal="left" vertical="center" wrapText="1"/>
    </xf>
    <xf numFmtId="0" fontId="9" fillId="0" borderId="27" xfId="0" applyFont="1" applyFill="1" applyBorder="1" applyAlignment="1" applyProtection="1">
      <alignment horizontal="center" vertical="center"/>
    </xf>
    <xf numFmtId="0" fontId="0" fillId="0" borderId="0" xfId="0" applyAlignment="1" applyProtection="1">
      <alignment vertical="center"/>
    </xf>
    <xf numFmtId="0" fontId="0" fillId="28" borderId="0" xfId="0" applyFill="1" applyAlignment="1" applyProtection="1">
      <alignment vertical="center"/>
    </xf>
    <xf numFmtId="0" fontId="9" fillId="28" borderId="58" xfId="0" applyFont="1" applyFill="1" applyBorder="1" applyAlignment="1" applyProtection="1">
      <alignment horizontal="left" vertical="center" wrapText="1"/>
    </xf>
    <xf numFmtId="0" fontId="9" fillId="28" borderId="58" xfId="0" applyFont="1" applyFill="1" applyBorder="1" applyAlignment="1" applyProtection="1">
      <alignment horizontal="center" vertical="center" wrapText="1"/>
    </xf>
    <xf numFmtId="0" fontId="9" fillId="28" borderId="58" xfId="0" applyFont="1" applyFill="1" applyBorder="1" applyAlignment="1" applyProtection="1">
      <alignment horizontal="center" vertical="center"/>
    </xf>
    <xf numFmtId="0" fontId="35" fillId="28" borderId="27" xfId="0" applyFont="1" applyFill="1" applyBorder="1" applyAlignment="1" applyProtection="1">
      <alignment horizontal="left" vertical="center" wrapText="1"/>
    </xf>
    <xf numFmtId="0" fontId="9" fillId="0" borderId="29" xfId="0" applyFont="1" applyBorder="1" applyAlignment="1" applyProtection="1">
      <alignment horizontal="center" vertical="center"/>
    </xf>
    <xf numFmtId="0" fontId="9" fillId="0" borderId="29" xfId="0" applyFont="1" applyBorder="1" applyAlignment="1" applyProtection="1">
      <alignment horizontal="left" vertical="center" wrapText="1"/>
    </xf>
    <xf numFmtId="0" fontId="9" fillId="28" borderId="29" xfId="0" applyFont="1" applyFill="1" applyBorder="1" applyAlignment="1" applyProtection="1">
      <alignment horizontal="left" vertical="center" wrapText="1"/>
    </xf>
    <xf numFmtId="0" fontId="35" fillId="28" borderId="29" xfId="0" applyFont="1" applyFill="1" applyBorder="1" applyAlignment="1" applyProtection="1">
      <alignment horizontal="left" vertical="center" wrapText="1"/>
    </xf>
    <xf numFmtId="0" fontId="1" fillId="28" borderId="0" xfId="0" applyFont="1" applyFill="1" applyAlignment="1" applyProtection="1">
      <alignment horizontal="center" vertical="center"/>
    </xf>
    <xf numFmtId="0" fontId="1" fillId="0" borderId="0" xfId="0" applyFont="1" applyAlignment="1" applyProtection="1">
      <alignment vertical="center"/>
    </xf>
    <xf numFmtId="0" fontId="1" fillId="28" borderId="0" xfId="0" applyFont="1" applyFill="1" applyAlignment="1" applyProtection="1">
      <alignment vertical="center"/>
    </xf>
    <xf numFmtId="0" fontId="9" fillId="0" borderId="29" xfId="0" applyFont="1" applyFill="1" applyBorder="1" applyAlignment="1" applyProtection="1">
      <alignment horizontal="left" vertical="center" wrapText="1"/>
    </xf>
    <xf numFmtId="0" fontId="6" fillId="0" borderId="27" xfId="0" applyFont="1" applyBorder="1" applyAlignment="1" applyProtection="1">
      <alignment horizontal="center" vertical="center"/>
    </xf>
    <xf numFmtId="0" fontId="6" fillId="0" borderId="29" xfId="0" applyFont="1" applyFill="1" applyBorder="1" applyAlignment="1" applyProtection="1">
      <alignment horizontal="left" vertical="center" wrapText="1"/>
    </xf>
    <xf numFmtId="0" fontId="1" fillId="0" borderId="0" xfId="0" applyFont="1" applyFill="1" applyAlignment="1" applyProtection="1">
      <alignment vertical="center"/>
    </xf>
    <xf numFmtId="0" fontId="6" fillId="28" borderId="29" xfId="0" applyFont="1" applyFill="1" applyBorder="1" applyAlignment="1" applyProtection="1">
      <alignment horizontal="left" vertical="center" wrapText="1"/>
    </xf>
    <xf numFmtId="0" fontId="66" fillId="28" borderId="0" xfId="0" applyFont="1" applyFill="1" applyAlignment="1" applyProtection="1">
      <alignment horizontal="center" vertical="center"/>
    </xf>
    <xf numFmtId="0" fontId="9" fillId="28" borderId="59" xfId="0" applyFont="1" applyFill="1" applyBorder="1" applyAlignment="1" applyProtection="1">
      <alignment horizontal="center" vertical="center"/>
    </xf>
    <xf numFmtId="0" fontId="35" fillId="28" borderId="59" xfId="0" applyFont="1" applyFill="1" applyBorder="1" applyAlignment="1" applyProtection="1">
      <alignment horizontal="left" vertical="center" wrapText="1"/>
    </xf>
    <xf numFmtId="0" fontId="9" fillId="0" borderId="59" xfId="0" applyFont="1" applyBorder="1" applyAlignment="1" applyProtection="1">
      <alignment horizontal="center" vertical="center"/>
    </xf>
    <xf numFmtId="0" fontId="13" fillId="28" borderId="31" xfId="0" applyFont="1" applyFill="1" applyBorder="1" applyAlignment="1" applyProtection="1">
      <alignment vertical="center" wrapText="1"/>
    </xf>
    <xf numFmtId="0" fontId="35" fillId="28" borderId="31" xfId="0" applyFont="1" applyFill="1" applyBorder="1" applyAlignment="1" applyProtection="1">
      <alignment horizontal="left" vertical="center" wrapText="1"/>
    </xf>
    <xf numFmtId="0" fontId="9" fillId="28" borderId="29" xfId="0" applyFont="1" applyFill="1" applyBorder="1" applyAlignment="1" applyProtection="1">
      <alignment vertical="center" wrapText="1"/>
    </xf>
    <xf numFmtId="0" fontId="9" fillId="0" borderId="28" xfId="0" applyFont="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8" xfId="0" applyFont="1" applyFill="1" applyBorder="1" applyAlignment="1" applyProtection="1">
      <alignment horizontal="left" vertical="center" wrapText="1"/>
    </xf>
    <xf numFmtId="0" fontId="9" fillId="28" borderId="31" xfId="0" applyFont="1" applyFill="1" applyBorder="1" applyAlignment="1" applyProtection="1">
      <alignment horizontal="center" vertical="center"/>
    </xf>
    <xf numFmtId="0" fontId="9" fillId="28" borderId="60" xfId="0" applyFont="1" applyFill="1" applyBorder="1" applyAlignment="1" applyProtection="1">
      <alignment horizontal="left" vertical="center" wrapText="1"/>
    </xf>
    <xf numFmtId="0" fontId="35" fillId="28" borderId="28" xfId="0" applyFont="1" applyFill="1" applyBorder="1" applyAlignment="1" applyProtection="1">
      <alignment horizontal="left" vertical="center" wrapText="1"/>
    </xf>
    <xf numFmtId="0" fontId="0" fillId="0" borderId="0" xfId="0" applyBorder="1" applyAlignment="1" applyProtection="1">
      <alignment vertical="center"/>
    </xf>
    <xf numFmtId="0" fontId="65" fillId="0" borderId="0" xfId="0" applyFont="1" applyAlignment="1" applyProtection="1">
      <alignment vertical="center"/>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5" fillId="0" borderId="0" xfId="0" applyFont="1" applyFill="1" applyAlignment="1" applyProtection="1">
      <alignment horizontal="left" vertical="center" wrapText="1"/>
    </xf>
    <xf numFmtId="0" fontId="9"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9" fillId="0" borderId="0" xfId="0" applyFont="1" applyFill="1" applyAlignment="1" applyProtection="1">
      <alignment horizontal="left" vertical="top" wrapText="1"/>
    </xf>
    <xf numFmtId="0" fontId="9" fillId="28" borderId="0" xfId="0" applyFont="1" applyFill="1" applyProtection="1"/>
    <xf numFmtId="0" fontId="52" fillId="28" borderId="27" xfId="0" applyFont="1" applyFill="1" applyBorder="1" applyAlignment="1" applyProtection="1">
      <alignment horizontal="center" vertical="center"/>
    </xf>
    <xf numFmtId="0" fontId="52" fillId="28" borderId="29" xfId="0" applyFont="1" applyFill="1" applyBorder="1" applyAlignment="1" applyProtection="1">
      <alignment horizontal="right" vertical="center" wrapText="1"/>
    </xf>
    <xf numFmtId="0" fontId="0" fillId="0" borderId="0" xfId="0" applyBorder="1" applyProtection="1"/>
    <xf numFmtId="0" fontId="6" fillId="0" borderId="0" xfId="0" applyFont="1" applyFill="1" applyAlignment="1" applyProtection="1">
      <alignment horizontal="left" vertical="top" wrapText="1"/>
    </xf>
    <xf numFmtId="0" fontId="0" fillId="28" borderId="0" xfId="0" applyFont="1" applyFill="1" applyProtection="1"/>
    <xf numFmtId="0" fontId="43" fillId="28" borderId="29" xfId="0" applyFont="1" applyFill="1" applyBorder="1" applyAlignment="1" applyProtection="1">
      <alignment horizontal="center"/>
    </xf>
    <xf numFmtId="0" fontId="0" fillId="28" borderId="0" xfId="0" applyFont="1" applyFill="1" applyBorder="1" applyAlignment="1" applyProtection="1">
      <alignment horizontal="center" vertical="center"/>
    </xf>
    <xf numFmtId="0" fontId="0" fillId="28" borderId="29" xfId="0" applyFill="1" applyBorder="1" applyProtection="1"/>
    <xf numFmtId="0" fontId="43" fillId="0" borderId="0" xfId="0" applyFont="1" applyFill="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26" borderId="0" xfId="0" applyFont="1" applyFill="1" applyBorder="1" applyAlignment="1" applyProtection="1">
      <alignment horizontal="center" vertical="center" wrapText="1"/>
    </xf>
    <xf numFmtId="0" fontId="43" fillId="26" borderId="0" xfId="0" applyFont="1" applyFill="1" applyBorder="1" applyAlignment="1" applyProtection="1">
      <alignment horizontal="left" vertical="top" wrapText="1"/>
    </xf>
    <xf numFmtId="0" fontId="9" fillId="28" borderId="27" xfId="0" applyFont="1" applyFill="1" applyBorder="1" applyAlignment="1" applyProtection="1">
      <alignment horizontal="left" vertical="center" wrapText="1"/>
    </xf>
    <xf numFmtId="0" fontId="43"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wrapText="1"/>
    </xf>
    <xf numFmtId="49" fontId="52" fillId="28" borderId="29"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52" fillId="28" borderId="29" xfId="0" applyFont="1" applyFill="1" applyBorder="1" applyAlignment="1" applyProtection="1">
      <alignment horizontal="center" vertical="center"/>
    </xf>
    <xf numFmtId="0" fontId="9" fillId="26" borderId="0" xfId="0" applyFont="1" applyFill="1" applyBorder="1" applyAlignment="1" applyProtection="1">
      <alignment vertical="top" wrapText="1"/>
    </xf>
    <xf numFmtId="0" fontId="0" fillId="26" borderId="0" xfId="0" applyFill="1" applyBorder="1" applyAlignment="1" applyProtection="1"/>
    <xf numFmtId="0" fontId="9" fillId="0" borderId="0" xfId="0" applyFont="1" applyFill="1" applyAlignment="1" applyProtection="1">
      <alignment vertical="top" wrapText="1"/>
    </xf>
    <xf numFmtId="0" fontId="0" fillId="0" borderId="0" xfId="0" applyFill="1" applyBorder="1" applyAlignment="1" applyProtection="1">
      <alignment horizontal="center" vertical="center" wrapText="1"/>
    </xf>
    <xf numFmtId="0" fontId="1" fillId="0" borderId="0" xfId="0" applyFont="1" applyBorder="1" applyProtection="1"/>
    <xf numFmtId="0" fontId="5" fillId="25" borderId="0" xfId="0" applyFont="1" applyFill="1" applyBorder="1" applyProtection="1"/>
    <xf numFmtId="0" fontId="4" fillId="25" borderId="0" xfId="0" applyFont="1" applyFill="1" applyBorder="1" applyAlignment="1" applyProtection="1">
      <alignment horizontal="center"/>
    </xf>
    <xf numFmtId="0" fontId="1" fillId="25" borderId="0" xfId="0" applyFont="1" applyFill="1" applyProtection="1"/>
    <xf numFmtId="0" fontId="9" fillId="25" borderId="0" xfId="0" applyFont="1" applyFill="1" applyBorder="1" applyAlignment="1" applyProtection="1">
      <alignment horizontal="center" vertical="center"/>
    </xf>
    <xf numFmtId="0" fontId="35" fillId="25" borderId="0" xfId="0" applyFont="1" applyFill="1" applyBorder="1" applyAlignment="1" applyProtection="1">
      <alignment horizontal="left" vertical="center" wrapText="1"/>
    </xf>
    <xf numFmtId="0" fontId="9" fillId="25" borderId="0" xfId="0" applyFont="1" applyFill="1" applyBorder="1" applyAlignment="1" applyProtection="1">
      <alignment horizontal="center" vertical="center" wrapText="1"/>
    </xf>
    <xf numFmtId="0" fontId="3" fillId="25" borderId="0" xfId="0" applyFont="1" applyFill="1" applyProtection="1"/>
    <xf numFmtId="0" fontId="4" fillId="0" borderId="10"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33" borderId="41" xfId="0" applyFont="1" applyFill="1" applyBorder="1" applyProtection="1"/>
    <xf numFmtId="0" fontId="43" fillId="28" borderId="28" xfId="0" applyFont="1" applyFill="1" applyBorder="1" applyAlignment="1" applyProtection="1">
      <alignment horizontal="center"/>
    </xf>
    <xf numFmtId="0" fontId="52" fillId="28" borderId="28" xfId="0" applyFont="1" applyFill="1" applyBorder="1" applyAlignment="1" applyProtection="1">
      <alignment horizontal="right" vertical="center" wrapText="1"/>
    </xf>
    <xf numFmtId="0" fontId="9" fillId="28" borderId="0" xfId="0" applyFont="1" applyFill="1" applyAlignment="1" applyProtection="1">
      <alignment horizontal="center"/>
    </xf>
    <xf numFmtId="0" fontId="55" fillId="28" borderId="0" xfId="0" applyFont="1" applyFill="1" applyProtection="1"/>
    <xf numFmtId="0" fontId="43" fillId="28" borderId="0" xfId="0" applyFont="1" applyFill="1" applyAlignment="1" applyProtection="1">
      <alignment horizontal="center"/>
    </xf>
    <xf numFmtId="0" fontId="56" fillId="28" borderId="0" xfId="0" applyFont="1" applyFill="1" applyProtection="1"/>
    <xf numFmtId="0" fontId="0" fillId="0" borderId="0" xfId="0" applyAlignment="1" applyProtection="1"/>
    <xf numFmtId="0" fontId="70" fillId="32" borderId="61" xfId="154" applyFont="1" applyFill="1" applyBorder="1" applyAlignment="1" applyProtection="1">
      <alignment horizontal="right" wrapText="1"/>
    </xf>
    <xf numFmtId="0" fontId="2" fillId="0" borderId="10" xfId="0" applyFont="1" applyFill="1" applyBorder="1" applyAlignment="1" applyProtection="1">
      <alignment wrapText="1"/>
      <protection locked="0"/>
    </xf>
    <xf numFmtId="0" fontId="2" fillId="0" borderId="10" xfId="0" applyFont="1" applyFill="1" applyBorder="1" applyProtection="1">
      <protection locked="0"/>
    </xf>
    <xf numFmtId="0" fontId="9" fillId="0" borderId="10" xfId="0" applyFont="1" applyFill="1" applyBorder="1" applyAlignment="1" applyProtection="1">
      <alignment horizontal="center" vertical="center"/>
      <protection locked="0"/>
    </xf>
    <xf numFmtId="0" fontId="35"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3" fillId="0" borderId="10" xfId="0" applyFont="1" applyFill="1" applyBorder="1" applyProtection="1">
      <protection locked="0"/>
    </xf>
    <xf numFmtId="0" fontId="0" fillId="0" borderId="10" xfId="0" applyFill="1" applyBorder="1" applyProtection="1">
      <protection locked="0"/>
    </xf>
    <xf numFmtId="0" fontId="30" fillId="24" borderId="0" xfId="0" applyFont="1" applyFill="1" applyProtection="1"/>
    <xf numFmtId="0" fontId="9" fillId="24" borderId="0" xfId="0" applyFont="1" applyFill="1" applyAlignment="1" applyProtection="1">
      <alignment horizontal="center" vertical="center"/>
    </xf>
    <xf numFmtId="0" fontId="35" fillId="24" borderId="0" xfId="0" applyFont="1" applyFill="1" applyAlignment="1" applyProtection="1">
      <alignment horizontal="left" vertical="center" wrapText="1"/>
    </xf>
    <xf numFmtId="0" fontId="9" fillId="24" borderId="0" xfId="0" applyFont="1" applyFill="1" applyAlignment="1" applyProtection="1">
      <alignment horizontal="center" vertical="center" wrapText="1"/>
    </xf>
    <xf numFmtId="0" fontId="1" fillId="24" borderId="0" xfId="0" applyFont="1" applyFill="1" applyProtection="1"/>
    <xf numFmtId="0" fontId="1" fillId="26" borderId="0" xfId="0" applyFont="1" applyFill="1" applyProtection="1"/>
    <xf numFmtId="0" fontId="2" fillId="0" borderId="0" xfId="0" applyFont="1" applyProtection="1"/>
    <xf numFmtId="0" fontId="33" fillId="0" borderId="0" xfId="0" applyFont="1" applyAlignment="1" applyProtection="1">
      <alignment horizontal="center" vertical="center"/>
    </xf>
    <xf numFmtId="0" fontId="36" fillId="0" borderId="0" xfId="0" applyFont="1" applyAlignment="1" applyProtection="1">
      <alignment horizontal="left" vertical="center" wrapText="1"/>
    </xf>
    <xf numFmtId="0" fontId="33" fillId="0" borderId="0" xfId="0" applyFont="1" applyAlignment="1" applyProtection="1">
      <alignment horizontal="center" vertical="center" wrapText="1"/>
    </xf>
    <xf numFmtId="0" fontId="9" fillId="0" borderId="0" xfId="0" applyFont="1" applyBorder="1" applyAlignment="1" applyProtection="1">
      <alignment horizontal="center" vertical="center"/>
    </xf>
    <xf numFmtId="0" fontId="14" fillId="0" borderId="10" xfId="0" applyFont="1" applyBorder="1" applyProtection="1"/>
    <xf numFmtId="0" fontId="9" fillId="0" borderId="10" xfId="0" applyFont="1" applyBorder="1" applyAlignment="1" applyProtection="1">
      <alignment horizontal="center" vertical="center"/>
    </xf>
    <xf numFmtId="0" fontId="35" fillId="0" borderId="10" xfId="0" applyFont="1" applyBorder="1" applyAlignment="1" applyProtection="1">
      <alignment horizontal="left" vertical="center" wrapText="1"/>
    </xf>
    <xf numFmtId="0" fontId="9" fillId="0" borderId="10" xfId="0" applyFont="1" applyBorder="1" applyAlignment="1" applyProtection="1">
      <alignment horizontal="center" vertical="center" wrapText="1"/>
    </xf>
    <xf numFmtId="0" fontId="35" fillId="0" borderId="0" xfId="0" applyFont="1" applyBorder="1" applyAlignment="1" applyProtection="1">
      <alignment horizontal="left" vertical="center" wrapText="1"/>
    </xf>
    <xf numFmtId="0" fontId="3" fillId="0" borderId="10" xfId="0" applyFont="1" applyBorder="1" applyProtection="1"/>
    <xf numFmtId="0" fontId="35" fillId="28" borderId="0" xfId="0" applyNumberFormat="1" applyFont="1" applyFill="1" applyAlignment="1" applyProtection="1">
      <alignment horizontal="left" vertical="center"/>
    </xf>
    <xf numFmtId="0" fontId="57" fillId="28" borderId="0" xfId="0" applyFont="1" applyFill="1" applyProtection="1"/>
    <xf numFmtId="0" fontId="58" fillId="28" borderId="0" xfId="0" applyFont="1" applyFill="1" applyProtection="1"/>
    <xf numFmtId="0" fontId="49" fillId="28" borderId="0" xfId="0" applyFont="1" applyFill="1" applyBorder="1" applyProtection="1"/>
    <xf numFmtId="0" fontId="50" fillId="28" borderId="0" xfId="0" applyFont="1" applyFill="1" applyBorder="1" applyAlignment="1" applyProtection="1"/>
    <xf numFmtId="0" fontId="49" fillId="28" borderId="0" xfId="0" applyFont="1" applyFill="1" applyBorder="1" applyAlignment="1" applyProtection="1"/>
    <xf numFmtId="0" fontId="49" fillId="28" borderId="0" xfId="0" applyFont="1" applyFill="1" applyBorder="1" applyAlignment="1" applyProtection="1">
      <alignment horizontal="left"/>
    </xf>
    <xf numFmtId="0" fontId="50" fillId="28" borderId="0" xfId="0" applyFont="1" applyFill="1" applyBorder="1" applyProtection="1"/>
    <xf numFmtId="0" fontId="15" fillId="28" borderId="0" xfId="0" applyFont="1" applyFill="1" applyBorder="1" applyProtection="1"/>
    <xf numFmtId="0" fontId="15" fillId="26" borderId="0" xfId="0" applyFont="1" applyFill="1" applyProtection="1"/>
    <xf numFmtId="0" fontId="15" fillId="0" borderId="0" xfId="0" applyFont="1" applyProtection="1"/>
    <xf numFmtId="0" fontId="4" fillId="0" borderId="0" xfId="0" applyFont="1" applyProtection="1"/>
    <xf numFmtId="0" fontId="35" fillId="25" borderId="0" xfId="0" applyFont="1" applyFill="1" applyAlignment="1" applyProtection="1">
      <alignment horizontal="left" vertical="center" wrapText="1"/>
    </xf>
    <xf numFmtId="0" fontId="9" fillId="25" borderId="0" xfId="0" applyFont="1" applyFill="1" applyAlignment="1" applyProtection="1">
      <alignment horizontal="center" vertical="center"/>
    </xf>
    <xf numFmtId="0" fontId="57" fillId="28" borderId="0" xfId="0" applyFont="1" applyFill="1" applyAlignment="1" applyProtection="1">
      <alignment vertical="top"/>
    </xf>
    <xf numFmtId="0" fontId="35" fillId="0" borderId="0" xfId="0" applyFont="1" applyAlignment="1" applyProtection="1">
      <alignment horizontal="left" wrapText="1"/>
    </xf>
    <xf numFmtId="0" fontId="9" fillId="0" borderId="0" xfId="0" applyFont="1" applyAlignment="1" applyProtection="1">
      <alignment horizontal="center"/>
    </xf>
    <xf numFmtId="0" fontId="3" fillId="0" borderId="0" xfId="0" applyFont="1" applyAlignment="1" applyProtection="1"/>
    <xf numFmtId="0" fontId="40" fillId="0" borderId="0" xfId="0" applyFont="1" applyAlignment="1" applyProtection="1">
      <alignment horizontal="right"/>
    </xf>
    <xf numFmtId="0" fontId="59" fillId="28" borderId="0" xfId="0" applyFont="1" applyFill="1" applyProtection="1"/>
    <xf numFmtId="0" fontId="10" fillId="26" borderId="0" xfId="0" applyFont="1" applyFill="1" applyAlignment="1" applyProtection="1">
      <alignment horizontal="center" vertical="center"/>
    </xf>
    <xf numFmtId="0" fontId="9" fillId="28" borderId="0" xfId="0" applyFont="1" applyFill="1" applyAlignment="1" applyProtection="1">
      <alignment vertical="center" wrapText="1"/>
    </xf>
    <xf numFmtId="0" fontId="9" fillId="0" borderId="27"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 fillId="28" borderId="0" xfId="0" applyFont="1" applyFill="1" applyBorder="1" applyAlignment="1" applyProtection="1">
      <alignment vertical="center"/>
    </xf>
    <xf numFmtId="0" fontId="9" fillId="0" borderId="29" xfId="0" applyFont="1" applyFill="1" applyBorder="1" applyAlignment="1" applyProtection="1">
      <alignment horizontal="center" vertical="center"/>
    </xf>
    <xf numFmtId="0" fontId="10" fillId="28" borderId="0" xfId="0" applyFont="1" applyFill="1" applyAlignment="1" applyProtection="1">
      <alignment horizontal="left" vertical="center"/>
    </xf>
    <xf numFmtId="0" fontId="63" fillId="28" borderId="0" xfId="0" applyFont="1" applyFill="1" applyAlignment="1" applyProtection="1">
      <alignment horizontal="center" vertical="center"/>
    </xf>
    <xf numFmtId="0" fontId="6" fillId="28" borderId="0" xfId="0" applyFont="1" applyFill="1" applyAlignment="1" applyProtection="1">
      <alignment vertical="center" wrapText="1"/>
    </xf>
    <xf numFmtId="0" fontId="6" fillId="0" borderId="29" xfId="0" applyFont="1" applyFill="1" applyBorder="1" applyAlignment="1" applyProtection="1">
      <alignment horizontal="center" vertical="center"/>
    </xf>
    <xf numFmtId="0" fontId="6" fillId="0" borderId="27" xfId="0" applyFont="1" applyFill="1" applyBorder="1" applyAlignment="1" applyProtection="1">
      <alignment horizontal="left" vertical="center" wrapText="1"/>
    </xf>
    <xf numFmtId="0" fontId="62" fillId="0" borderId="0" xfId="0" applyFont="1" applyFill="1" applyAlignment="1" applyProtection="1">
      <alignment horizontal="center" vertical="center"/>
    </xf>
    <xf numFmtId="0" fontId="62" fillId="28" borderId="0" xfId="0" applyFont="1" applyFill="1" applyAlignment="1" applyProtection="1">
      <alignment horizontal="center" vertical="center"/>
    </xf>
    <xf numFmtId="0" fontId="6" fillId="28" borderId="29" xfId="0" applyFont="1" applyFill="1" applyBorder="1" applyAlignment="1" applyProtection="1">
      <alignment horizontal="center" vertical="center"/>
    </xf>
    <xf numFmtId="0" fontId="6" fillId="28" borderId="27" xfId="0" applyFont="1" applyFill="1" applyBorder="1" applyAlignment="1" applyProtection="1">
      <alignment horizontal="left" vertical="center" wrapText="1"/>
    </xf>
    <xf numFmtId="0" fontId="37" fillId="28" borderId="27" xfId="0" applyFont="1" applyFill="1" applyBorder="1" applyAlignment="1" applyProtection="1">
      <alignment horizontal="left" vertical="center" wrapText="1"/>
    </xf>
    <xf numFmtId="0" fontId="62" fillId="26" borderId="0" xfId="0" applyFont="1" applyFill="1" applyAlignment="1" applyProtection="1">
      <alignment horizontal="center" vertical="center"/>
    </xf>
    <xf numFmtId="0" fontId="1" fillId="0" borderId="0" xfId="0" applyFont="1" applyFill="1" applyProtection="1"/>
    <xf numFmtId="0" fontId="13" fillId="28" borderId="27" xfId="0" applyFont="1" applyFill="1" applyBorder="1" applyAlignment="1" applyProtection="1">
      <alignment horizontal="left" vertical="center" wrapText="1"/>
    </xf>
    <xf numFmtId="0" fontId="9" fillId="0" borderId="29" xfId="0" applyFont="1" applyFill="1" applyBorder="1" applyAlignment="1" applyProtection="1">
      <alignment horizontal="left" vertical="center" indent="1"/>
    </xf>
    <xf numFmtId="0" fontId="9" fillId="28" borderId="29" xfId="0" applyFont="1" applyFill="1" applyBorder="1" applyAlignment="1" applyProtection="1">
      <alignment horizontal="left" vertical="center" indent="1"/>
    </xf>
    <xf numFmtId="0" fontId="9" fillId="28" borderId="29" xfId="0" applyFont="1" applyFill="1" applyBorder="1" applyAlignment="1" applyProtection="1">
      <alignment horizontal="left" vertical="center" wrapText="1" indent="1"/>
    </xf>
    <xf numFmtId="0" fontId="31" fillId="28" borderId="0" xfId="0" applyFont="1" applyFill="1" applyAlignment="1" applyProtection="1">
      <alignment horizontal="center"/>
    </xf>
    <xf numFmtId="0" fontId="22" fillId="0" borderId="0" xfId="0" applyFont="1" applyFill="1" applyProtection="1"/>
    <xf numFmtId="0" fontId="22" fillId="28" borderId="0" xfId="0" applyFont="1" applyFill="1" applyProtection="1"/>
    <xf numFmtId="0" fontId="22" fillId="26" borderId="0" xfId="0" applyFont="1" applyFill="1" applyProtection="1"/>
    <xf numFmtId="0" fontId="22" fillId="28" borderId="0" xfId="0" applyFont="1" applyFill="1" applyAlignment="1" applyProtection="1">
      <alignment horizontal="center"/>
    </xf>
    <xf numFmtId="0" fontId="4" fillId="0" borderId="0" xfId="0" applyFont="1" applyBorder="1" applyAlignment="1" applyProtection="1">
      <alignment wrapText="1"/>
    </xf>
    <xf numFmtId="0" fontId="4" fillId="0" borderId="0" xfId="0" applyFont="1" applyBorder="1" applyProtection="1"/>
    <xf numFmtId="0" fontId="13" fillId="28" borderId="29" xfId="0" applyFont="1" applyFill="1" applyBorder="1" applyAlignment="1" applyProtection="1">
      <alignment horizontal="left" vertical="center"/>
    </xf>
    <xf numFmtId="0" fontId="43" fillId="28" borderId="0" xfId="0" applyFont="1" applyFill="1" applyAlignment="1" applyProtection="1">
      <alignment vertical="top" wrapText="1"/>
    </xf>
    <xf numFmtId="0" fontId="6" fillId="28" borderId="27" xfId="0" applyFont="1" applyFill="1" applyBorder="1" applyAlignment="1" applyProtection="1">
      <alignment horizontal="center" vertical="center"/>
    </xf>
    <xf numFmtId="0" fontId="0" fillId="26" borderId="0" xfId="0" applyFill="1" applyBorder="1" applyProtection="1"/>
    <xf numFmtId="0" fontId="0" fillId="26" borderId="0" xfId="0" applyFill="1" applyProtection="1"/>
    <xf numFmtId="0" fontId="52" fillId="28" borderId="29" xfId="0" applyFont="1" applyFill="1" applyBorder="1" applyAlignment="1" applyProtection="1">
      <alignment horizontal="right" vertical="center"/>
    </xf>
    <xf numFmtId="0" fontId="42" fillId="0" borderId="0" xfId="0" applyFont="1" applyFill="1" applyAlignment="1" applyProtection="1">
      <alignment horizontal="right" vertical="top" wrapText="1"/>
    </xf>
    <xf numFmtId="0" fontId="22" fillId="25" borderId="0" xfId="0" applyFont="1" applyFill="1" applyBorder="1" applyProtection="1"/>
    <xf numFmtId="0" fontId="35" fillId="25" borderId="0" xfId="0" applyFont="1" applyFill="1" applyBorder="1" applyAlignment="1" applyProtection="1">
      <alignment horizontal="left" vertical="center" wrapText="1" indent="2"/>
    </xf>
    <xf numFmtId="0" fontId="22" fillId="0" borderId="10" xfId="0" applyFont="1" applyBorder="1" applyProtection="1"/>
    <xf numFmtId="0" fontId="5" fillId="0" borderId="10" xfId="0" applyFont="1" applyBorder="1" applyProtection="1"/>
    <xf numFmtId="0" fontId="35" fillId="0" borderId="10" xfId="0" applyFont="1" applyBorder="1" applyAlignment="1" applyProtection="1">
      <alignment horizontal="left" vertical="center" wrapText="1" indent="2"/>
    </xf>
    <xf numFmtId="0" fontId="4" fillId="28" borderId="48" xfId="0" applyFont="1" applyFill="1" applyBorder="1" applyProtection="1"/>
    <xf numFmtId="0" fontId="1" fillId="28" borderId="62" xfId="0" applyFont="1" applyFill="1" applyBorder="1" applyAlignment="1" applyProtection="1">
      <alignment horizontal="center"/>
    </xf>
    <xf numFmtId="0" fontId="10" fillId="28" borderId="0" xfId="0" applyFont="1" applyFill="1" applyBorder="1" applyAlignment="1" applyProtection="1">
      <alignment horizontal="right"/>
    </xf>
    <xf numFmtId="0" fontId="52" fillId="28" borderId="28" xfId="0" applyFont="1" applyFill="1" applyBorder="1" applyAlignment="1" applyProtection="1">
      <alignment horizontal="right" vertical="center"/>
    </xf>
    <xf numFmtId="0" fontId="6" fillId="28" borderId="28" xfId="0" applyFont="1" applyFill="1" applyBorder="1" applyAlignment="1" applyProtection="1">
      <alignment horizontal="center" vertical="center"/>
    </xf>
    <xf numFmtId="0" fontId="35" fillId="28" borderId="0" xfId="0" applyFont="1" applyFill="1" applyBorder="1" applyAlignment="1" applyProtection="1">
      <alignment horizontal="left" vertical="center" wrapText="1"/>
    </xf>
    <xf numFmtId="0" fontId="43" fillId="28" borderId="0" xfId="0" applyFont="1" applyFill="1" applyBorder="1" applyAlignment="1" applyProtection="1">
      <alignment horizontal="center"/>
    </xf>
    <xf numFmtId="0" fontId="52" fillId="28" borderId="0" xfId="0" applyFont="1" applyFill="1" applyBorder="1" applyAlignment="1" applyProtection="1">
      <alignment horizontal="right" vertical="center" wrapText="1"/>
    </xf>
    <xf numFmtId="0" fontId="3" fillId="0" borderId="0" xfId="0" applyFont="1" applyBorder="1" applyProtection="1"/>
    <xf numFmtId="0" fontId="52" fillId="28" borderId="0" xfId="0" applyFont="1" applyFill="1" applyBorder="1" applyAlignment="1" applyProtection="1">
      <alignment horizontal="right" vertical="center"/>
    </xf>
    <xf numFmtId="0" fontId="9" fillId="28" borderId="0" xfId="0" applyFont="1" applyFill="1" applyAlignment="1" applyProtection="1">
      <alignment horizontal="right"/>
    </xf>
    <xf numFmtId="0" fontId="9" fillId="0" borderId="0" xfId="0" applyFont="1" applyBorder="1" applyAlignment="1" applyProtection="1">
      <alignment horizontal="center" vertical="center" wrapText="1"/>
    </xf>
    <xf numFmtId="0" fontId="1" fillId="28" borderId="0" xfId="0" applyFont="1" applyFill="1" applyBorder="1" applyAlignment="1" applyProtection="1">
      <alignment horizontal="center"/>
    </xf>
    <xf numFmtId="0" fontId="2" fillId="0" borderId="10" xfId="0" applyFont="1" applyBorder="1" applyAlignment="1" applyProtection="1">
      <alignment wrapText="1"/>
      <protection locked="0"/>
    </xf>
    <xf numFmtId="0" fontId="2" fillId="0" borderId="10" xfId="0" applyFont="1" applyBorder="1" applyProtection="1">
      <protection locked="0"/>
    </xf>
    <xf numFmtId="0" fontId="9" fillId="0" borderId="10" xfId="0" applyFont="1" applyBorder="1" applyAlignment="1" applyProtection="1">
      <alignment horizontal="center" vertical="center"/>
      <protection locked="0"/>
    </xf>
    <xf numFmtId="0" fontId="35"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3" fillId="0" borderId="10" xfId="0" applyFont="1" applyBorder="1" applyProtection="1">
      <protection locked="0"/>
    </xf>
    <xf numFmtId="0" fontId="0" fillId="0" borderId="10" xfId="0" applyBorder="1" applyProtection="1">
      <protection locked="0"/>
    </xf>
    <xf numFmtId="0" fontId="23" fillId="28" borderId="0" xfId="0" applyFont="1" applyFill="1" applyAlignment="1" applyProtection="1">
      <alignment horizontal="center"/>
    </xf>
    <xf numFmtId="0" fontId="23" fillId="0" borderId="0" xfId="0" applyFont="1" applyProtection="1"/>
    <xf numFmtId="0" fontId="0" fillId="28" borderId="0" xfId="0" applyFill="1" applyBorder="1" applyProtection="1"/>
    <xf numFmtId="0" fontId="15" fillId="28" borderId="0" xfId="0" applyFont="1" applyFill="1" applyProtection="1"/>
    <xf numFmtId="0" fontId="14" fillId="28" borderId="0" xfId="0" applyFont="1" applyFill="1" applyBorder="1" applyAlignment="1" applyProtection="1"/>
    <xf numFmtId="0" fontId="15" fillId="28" borderId="0" xfId="0" applyFont="1" applyFill="1" applyBorder="1" applyAlignment="1" applyProtection="1">
      <alignment horizontal="left"/>
    </xf>
    <xf numFmtId="0" fontId="14" fillId="28" borderId="0" xfId="0" applyFont="1" applyFill="1" applyBorder="1" applyProtection="1"/>
    <xf numFmtId="0" fontId="15" fillId="0" borderId="0" xfId="0" applyFont="1" applyFill="1" applyBorder="1" applyProtection="1"/>
    <xf numFmtId="0" fontId="23" fillId="25" borderId="0" xfId="0" applyFont="1" applyFill="1" applyProtection="1"/>
    <xf numFmtId="0" fontId="39" fillId="28" borderId="0" xfId="0" applyFont="1" applyFill="1" applyAlignment="1" applyProtection="1">
      <alignment horizontal="center"/>
    </xf>
    <xf numFmtId="0" fontId="39" fillId="0" borderId="0" xfId="0" applyFont="1" applyProtection="1"/>
    <xf numFmtId="0" fontId="0" fillId="28" borderId="0" xfId="0" applyFill="1" applyAlignment="1" applyProtection="1"/>
    <xf numFmtId="0" fontId="31" fillId="28" borderId="0" xfId="0" applyFont="1" applyFill="1" applyAlignment="1" applyProtection="1">
      <alignment horizontal="center" vertical="center"/>
    </xf>
    <xf numFmtId="0" fontId="22" fillId="0" borderId="0" xfId="0" applyFont="1" applyFill="1" applyAlignment="1" applyProtection="1">
      <alignment vertical="center"/>
    </xf>
    <xf numFmtId="0" fontId="22" fillId="28" borderId="0" xfId="0" applyFont="1" applyFill="1" applyAlignment="1" applyProtection="1">
      <alignment vertical="center"/>
    </xf>
    <xf numFmtId="0" fontId="22" fillId="28" borderId="0" xfId="0" applyFont="1" applyFill="1" applyAlignment="1" applyProtection="1">
      <alignment horizontal="center" vertical="center"/>
    </xf>
    <xf numFmtId="0" fontId="6" fillId="0" borderId="27" xfId="0" applyFont="1" applyFill="1" applyBorder="1" applyAlignment="1" applyProtection="1">
      <alignment horizontal="center" vertical="center"/>
    </xf>
    <xf numFmtId="0" fontId="9" fillId="0" borderId="29" xfId="0" applyFont="1" applyFill="1" applyBorder="1" applyAlignment="1" applyProtection="1">
      <alignment horizontal="left" vertical="center" wrapText="1" indent="2"/>
    </xf>
    <xf numFmtId="0" fontId="10" fillId="0" borderId="0" xfId="0" applyFont="1" applyAlignment="1" applyProtection="1">
      <alignment vertical="center"/>
    </xf>
    <xf numFmtId="0" fontId="10" fillId="28" borderId="0" xfId="0" applyFont="1" applyFill="1" applyAlignment="1" applyProtection="1">
      <alignment vertical="center"/>
    </xf>
    <xf numFmtId="0" fontId="9" fillId="28" borderId="29" xfId="0" applyFont="1" applyFill="1" applyBorder="1" applyAlignment="1" applyProtection="1">
      <alignment horizontal="left" vertical="center" wrapText="1" indent="2"/>
    </xf>
    <xf numFmtId="0" fontId="9" fillId="28" borderId="29" xfId="0" applyFont="1" applyFill="1" applyBorder="1" applyAlignment="1" applyProtection="1">
      <alignment horizontal="left" vertical="center" indent="2"/>
    </xf>
    <xf numFmtId="0" fontId="9" fillId="0" borderId="29" xfId="0" applyFont="1" applyFill="1" applyBorder="1" applyAlignment="1" applyProtection="1">
      <alignment horizontal="left" vertical="center" indent="2"/>
    </xf>
    <xf numFmtId="0" fontId="9" fillId="0" borderId="59" xfId="0" applyFont="1" applyFill="1" applyBorder="1" applyAlignment="1" applyProtection="1">
      <alignment horizontal="left" vertical="center" indent="2"/>
    </xf>
    <xf numFmtId="0" fontId="13" fillId="28" borderId="59" xfId="0" applyFont="1" applyFill="1" applyBorder="1" applyAlignment="1" applyProtection="1">
      <alignment horizontal="left" vertical="center"/>
    </xf>
    <xf numFmtId="0" fontId="9" fillId="28" borderId="59" xfId="0" applyFont="1" applyFill="1" applyBorder="1" applyAlignment="1" applyProtection="1">
      <alignment horizontal="center" vertical="center" wrapText="1"/>
    </xf>
    <xf numFmtId="0" fontId="22" fillId="0" borderId="0" xfId="0" applyFont="1" applyProtection="1"/>
    <xf numFmtId="0" fontId="9" fillId="28" borderId="28"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9" fillId="28" borderId="0" xfId="0" applyFont="1" applyFill="1" applyAlignment="1" applyProtection="1">
      <alignment horizontal="left" vertical="top" wrapText="1"/>
    </xf>
    <xf numFmtId="0" fontId="6" fillId="28" borderId="29" xfId="0" applyFont="1" applyFill="1" applyBorder="1" applyAlignment="1" applyProtection="1">
      <alignment horizontal="right" vertical="center" wrapText="1"/>
    </xf>
    <xf numFmtId="0" fontId="9" fillId="0" borderId="0" xfId="0" applyFont="1" applyFill="1" applyBorder="1" applyAlignment="1" applyProtection="1">
      <alignment horizontal="center" vertical="top" wrapText="1"/>
    </xf>
    <xf numFmtId="0" fontId="9" fillId="26" borderId="0" xfId="0" applyFont="1" applyFill="1" applyBorder="1" applyAlignment="1" applyProtection="1">
      <alignment horizontal="center" vertical="top" wrapText="1"/>
    </xf>
    <xf numFmtId="0" fontId="43" fillId="28" borderId="0" xfId="0" applyFont="1" applyFill="1" applyAlignment="1" applyProtection="1">
      <alignment horizontal="left" vertical="top" wrapText="1"/>
    </xf>
    <xf numFmtId="0" fontId="52" fillId="28" borderId="28" xfId="0" applyFont="1" applyFill="1" applyBorder="1" applyAlignment="1" applyProtection="1">
      <alignment horizontal="right" wrapText="1"/>
    </xf>
    <xf numFmtId="0" fontId="43" fillId="26" borderId="0" xfId="0" applyFont="1" applyFill="1" applyAlignment="1" applyProtection="1">
      <alignment horizontal="left" vertical="top" wrapText="1"/>
    </xf>
    <xf numFmtId="0" fontId="9" fillId="28" borderId="29" xfId="0" applyFont="1" applyFill="1" applyBorder="1" applyAlignment="1" applyProtection="1">
      <alignment horizontal="right" vertical="center" wrapText="1"/>
    </xf>
    <xf numFmtId="0" fontId="43" fillId="0" borderId="0" xfId="0" applyFont="1" applyFill="1" applyAlignment="1" applyProtection="1">
      <alignment horizontal="center" wrapText="1"/>
    </xf>
    <xf numFmtId="0" fontId="9" fillId="28" borderId="0" xfId="0" applyFont="1" applyFill="1" applyBorder="1" applyAlignment="1" applyProtection="1">
      <alignment horizontal="left" vertical="center" wrapText="1"/>
    </xf>
    <xf numFmtId="0" fontId="41" fillId="0" borderId="0" xfId="0" applyFont="1" applyFill="1" applyAlignment="1" applyProtection="1">
      <alignment horizontal="left" vertical="top" wrapText="1"/>
    </xf>
    <xf numFmtId="0" fontId="41" fillId="28" borderId="0" xfId="0" applyFont="1" applyFill="1" applyAlignment="1" applyProtection="1">
      <alignment horizontal="left" vertical="top" wrapText="1"/>
    </xf>
    <xf numFmtId="0" fontId="23" fillId="28" borderId="0" xfId="0" applyFont="1" applyFill="1" applyProtection="1"/>
    <xf numFmtId="0" fontId="3" fillId="28" borderId="0" xfId="0" applyFont="1" applyFill="1" applyBorder="1" applyAlignment="1" applyProtection="1">
      <alignment wrapText="1"/>
    </xf>
    <xf numFmtId="0" fontId="4" fillId="28" borderId="30" xfId="0" applyFont="1" applyFill="1" applyBorder="1" applyProtection="1"/>
    <xf numFmtId="0" fontId="3" fillId="28" borderId="0" xfId="0" applyFont="1" applyFill="1" applyBorder="1" applyAlignment="1" applyProtection="1">
      <alignment horizontal="left" wrapText="1"/>
    </xf>
    <xf numFmtId="0" fontId="0" fillId="28" borderId="0" xfId="0" applyFill="1" applyBorder="1" applyAlignment="1" applyProtection="1">
      <alignment horizontal="center"/>
    </xf>
    <xf numFmtId="0" fontId="35" fillId="0" borderId="0" xfId="0" applyFont="1" applyAlignment="1" applyProtection="1">
      <alignment horizontal="left" vertical="center" wrapText="1" indent="2"/>
    </xf>
    <xf numFmtId="0" fontId="23" fillId="24" borderId="0" xfId="0" applyFont="1" applyFill="1" applyProtection="1"/>
    <xf numFmtId="0" fontId="15" fillId="28" borderId="0" xfId="0" applyFont="1" applyFill="1" applyBorder="1" applyAlignment="1" applyProtection="1"/>
    <xf numFmtId="0" fontId="5" fillId="0" borderId="0" xfId="152" applyFont="1" applyBorder="1" applyProtection="1"/>
    <xf numFmtId="0" fontId="33" fillId="0" borderId="0" xfId="0" applyFont="1" applyBorder="1" applyAlignment="1" applyProtection="1">
      <alignment horizontal="center" vertical="center"/>
    </xf>
    <xf numFmtId="0" fontId="39" fillId="28" borderId="0" xfId="0" applyFont="1" applyFill="1" applyProtection="1"/>
    <xf numFmtId="0" fontId="6" fillId="28" borderId="29" xfId="0" applyFont="1" applyFill="1" applyBorder="1" applyAlignment="1" applyProtection="1">
      <alignment horizontal="justify" vertical="center" wrapText="1"/>
    </xf>
    <xf numFmtId="0" fontId="9" fillId="28" borderId="63" xfId="0" applyFont="1" applyFill="1" applyBorder="1" applyAlignment="1" applyProtection="1">
      <alignment horizontal="center" vertical="center"/>
    </xf>
    <xf numFmtId="0" fontId="9" fillId="28" borderId="64" xfId="0" applyFont="1" applyFill="1" applyBorder="1" applyAlignment="1" applyProtection="1">
      <alignment horizontal="right" vertical="center" wrapText="1"/>
    </xf>
    <xf numFmtId="0" fontId="13" fillId="0" borderId="29" xfId="0" applyFont="1" applyFill="1" applyBorder="1" applyAlignment="1" applyProtection="1">
      <alignment horizontal="left" vertical="center" wrapText="1"/>
    </xf>
    <xf numFmtId="0" fontId="9" fillId="0" borderId="59" xfId="0" applyFont="1" applyFill="1" applyBorder="1" applyAlignment="1" applyProtection="1">
      <alignment horizontal="center" vertical="center"/>
    </xf>
    <xf numFmtId="0" fontId="9" fillId="28" borderId="29" xfId="0" applyFont="1" applyFill="1" applyBorder="1" applyAlignment="1" applyProtection="1">
      <alignment horizontal="justify" vertical="center" wrapText="1"/>
    </xf>
    <xf numFmtId="0" fontId="9" fillId="28" borderId="0" xfId="0" applyFont="1" applyFill="1" applyBorder="1" applyAlignment="1" applyProtection="1">
      <alignment horizontal="right" vertical="center" wrapText="1"/>
    </xf>
    <xf numFmtId="0" fontId="9" fillId="28" borderId="28" xfId="0" applyFont="1" applyFill="1" applyBorder="1" applyAlignment="1" applyProtection="1">
      <alignment horizontal="justify" vertical="center" wrapText="1"/>
    </xf>
    <xf numFmtId="0" fontId="9" fillId="28" borderId="65" xfId="0" applyFont="1" applyFill="1" applyBorder="1" applyAlignment="1" applyProtection="1">
      <alignment horizontal="center" vertical="center"/>
    </xf>
    <xf numFmtId="0" fontId="6" fillId="28" borderId="0" xfId="0" applyFont="1" applyFill="1" applyBorder="1" applyAlignment="1" applyProtection="1">
      <alignment horizontal="center" vertical="center"/>
    </xf>
    <xf numFmtId="0" fontId="9" fillId="28" borderId="36" xfId="0" applyFont="1" applyFill="1" applyBorder="1" applyAlignment="1" applyProtection="1">
      <alignment horizontal="left" vertical="center" wrapText="1" indent="2"/>
    </xf>
    <xf numFmtId="0" fontId="0" fillId="28" borderId="64" xfId="0" applyFill="1" applyBorder="1" applyProtection="1"/>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indent="2"/>
    </xf>
    <xf numFmtId="0" fontId="9" fillId="24" borderId="30"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2" fillId="28" borderId="29" xfId="0" applyFont="1" applyFill="1" applyBorder="1" applyAlignment="1" applyProtection="1">
      <alignment horizontal="right" wrapText="1"/>
    </xf>
    <xf numFmtId="0" fontId="9" fillId="28" borderId="66" xfId="0" applyFont="1" applyFill="1" applyBorder="1" applyProtection="1"/>
    <xf numFmtId="0" fontId="9" fillId="28" borderId="33" xfId="0" applyFont="1" applyFill="1" applyBorder="1" applyProtection="1"/>
    <xf numFmtId="0" fontId="9" fillId="28" borderId="67" xfId="0" applyFont="1" applyFill="1" applyBorder="1" applyProtection="1"/>
    <xf numFmtId="0" fontId="9" fillId="28" borderId="59" xfId="0" applyFont="1" applyFill="1" applyBorder="1" applyProtection="1"/>
    <xf numFmtId="0" fontId="9" fillId="28" borderId="64" xfId="0" applyFont="1" applyFill="1" applyBorder="1" applyProtection="1"/>
    <xf numFmtId="0" fontId="43" fillId="28" borderId="0" xfId="0" applyFont="1" applyFill="1" applyBorder="1" applyAlignment="1" applyProtection="1">
      <alignment vertical="top" wrapText="1"/>
    </xf>
    <xf numFmtId="0" fontId="52" fillId="28" borderId="33" xfId="0" applyFont="1" applyFill="1" applyBorder="1" applyAlignment="1" applyProtection="1">
      <alignment horizontal="right" vertical="center" wrapText="1"/>
    </xf>
    <xf numFmtId="0" fontId="9" fillId="0" borderId="0" xfId="0" applyFont="1" applyFill="1" applyBorder="1" applyAlignment="1" applyProtection="1">
      <alignment horizontal="justify" vertical="center" wrapText="1"/>
    </xf>
    <xf numFmtId="0" fontId="9" fillId="28" borderId="27" xfId="0" applyFont="1" applyFill="1" applyBorder="1" applyProtection="1"/>
    <xf numFmtId="0" fontId="0" fillId="0" borderId="0" xfId="0" applyAlignment="1" applyProtection="1">
      <alignment horizontal="center" vertical="center"/>
    </xf>
    <xf numFmtId="0" fontId="9" fillId="28" borderId="68" xfId="0" applyFont="1" applyFill="1" applyBorder="1" applyProtection="1"/>
    <xf numFmtId="0" fontId="9" fillId="28" borderId="69" xfId="0" applyFont="1" applyFill="1" applyBorder="1" applyProtection="1"/>
    <xf numFmtId="0" fontId="9" fillId="28" borderId="70" xfId="0" applyFont="1" applyFill="1" applyBorder="1" applyProtection="1"/>
    <xf numFmtId="0" fontId="9" fillId="28" borderId="29" xfId="0" applyFont="1" applyFill="1" applyBorder="1" applyProtection="1"/>
    <xf numFmtId="0" fontId="9" fillId="28" borderId="71" xfId="0" applyFont="1" applyFill="1" applyBorder="1" applyAlignment="1" applyProtection="1">
      <alignment horizontal="center" vertical="center"/>
    </xf>
    <xf numFmtId="0" fontId="9" fillId="28" borderId="72" xfId="0" applyFont="1" applyFill="1" applyBorder="1" applyAlignment="1" applyProtection="1">
      <alignment horizontal="center" vertical="center"/>
    </xf>
    <xf numFmtId="0" fontId="9" fillId="28" borderId="0" xfId="0" applyFont="1" applyFill="1" applyBorder="1" applyProtection="1"/>
    <xf numFmtId="0" fontId="9" fillId="28" borderId="36" xfId="0" applyFont="1" applyFill="1" applyBorder="1" applyProtection="1"/>
    <xf numFmtId="0" fontId="35" fillId="24" borderId="0" xfId="0" applyFont="1" applyFill="1" applyBorder="1" applyAlignment="1" applyProtection="1">
      <alignment horizontal="left" vertical="center" wrapText="1"/>
    </xf>
    <xf numFmtId="0" fontId="6" fillId="28" borderId="27" xfId="0" applyFont="1" applyFill="1" applyBorder="1" applyAlignment="1" applyProtection="1">
      <alignment vertical="center" wrapText="1"/>
    </xf>
    <xf numFmtId="0" fontId="6" fillId="28" borderId="29" xfId="0" applyFont="1" applyFill="1" applyBorder="1" applyAlignment="1" applyProtection="1">
      <alignment vertical="center" wrapText="1"/>
    </xf>
    <xf numFmtId="0" fontId="13" fillId="26" borderId="29" xfId="0" applyFont="1" applyFill="1" applyBorder="1" applyAlignment="1" applyProtection="1">
      <alignment horizontal="left" vertical="center" wrapText="1" indent="4"/>
    </xf>
    <xf numFmtId="0" fontId="13" fillId="28" borderId="29" xfId="0" applyFont="1" applyFill="1" applyBorder="1" applyAlignment="1" applyProtection="1">
      <alignment horizontal="left" vertical="center" wrapText="1" indent="4"/>
    </xf>
    <xf numFmtId="0" fontId="43" fillId="0" borderId="0" xfId="0" applyFont="1" applyFill="1" applyAlignment="1" applyProtection="1">
      <alignment vertical="top" wrapText="1"/>
    </xf>
    <xf numFmtId="0" fontId="55" fillId="28" borderId="29" xfId="0" applyFont="1" applyFill="1" applyBorder="1" applyAlignment="1" applyProtection="1">
      <alignment horizontal="right" vertical="center" wrapText="1"/>
    </xf>
    <xf numFmtId="0" fontId="10" fillId="28" borderId="32" xfId="0" applyFont="1" applyFill="1" applyBorder="1" applyAlignment="1" applyProtection="1">
      <alignment horizontal="right"/>
    </xf>
    <xf numFmtId="0" fontId="1" fillId="60" borderId="0" xfId="0" applyFont="1" applyFill="1" applyProtection="1"/>
    <xf numFmtId="0" fontId="10" fillId="0" borderId="0" xfId="0" applyFont="1" applyAlignment="1" applyProtection="1">
      <alignment wrapText="1"/>
    </xf>
    <xf numFmtId="0" fontId="43" fillId="0" borderId="0" xfId="0" applyFont="1" applyFill="1" applyBorder="1" applyAlignment="1" applyProtection="1">
      <alignment horizontal="right" vertical="center" wrapText="1"/>
    </xf>
    <xf numFmtId="0" fontId="43" fillId="0" borderId="36" xfId="0" applyFont="1" applyFill="1" applyBorder="1" applyAlignment="1" applyProtection="1">
      <alignment vertical="center" wrapText="1"/>
    </xf>
    <xf numFmtId="0" fontId="10" fillId="0" borderId="0" xfId="0" applyFont="1" applyFill="1" applyBorder="1" applyAlignment="1" applyProtection="1">
      <alignment wrapText="1"/>
    </xf>
    <xf numFmtId="0" fontId="10" fillId="0" borderId="0" xfId="0" applyFont="1" applyBorder="1" applyAlignment="1" applyProtection="1">
      <alignment wrapText="1"/>
    </xf>
    <xf numFmtId="0" fontId="9" fillId="30" borderId="3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10" fillId="0" borderId="36" xfId="0" applyFont="1" applyBorder="1" applyProtection="1"/>
    <xf numFmtId="0" fontId="10" fillId="0" borderId="10" xfId="0" applyFont="1" applyBorder="1" applyAlignment="1" applyProtection="1">
      <alignment wrapText="1"/>
    </xf>
    <xf numFmtId="0" fontId="43" fillId="0" borderId="0" xfId="0" applyFont="1" applyAlignment="1" applyProtection="1">
      <alignment horizontal="center" wrapText="1"/>
    </xf>
    <xf numFmtId="0" fontId="43" fillId="0" borderId="0" xfId="0" applyFont="1" applyAlignment="1" applyProtection="1">
      <alignment horizontal="center" vertical="center" wrapText="1"/>
    </xf>
    <xf numFmtId="0" fontId="10" fillId="0" borderId="73" xfId="0" applyFont="1" applyBorder="1" applyAlignment="1" applyProtection="1">
      <alignment wrapText="1"/>
    </xf>
    <xf numFmtId="0" fontId="0" fillId="0" borderId="0" xfId="0" applyBorder="1" applyAlignment="1">
      <alignment horizontal="left" wrapText="1"/>
    </xf>
    <xf numFmtId="0" fontId="6" fillId="28" borderId="27" xfId="0" applyFont="1" applyFill="1" applyBorder="1" applyAlignment="1" applyProtection="1">
      <alignment horizontal="right" vertical="center" wrapText="1"/>
    </xf>
    <xf numFmtId="0" fontId="10" fillId="0" borderId="0" xfId="0" applyFont="1" applyFill="1" applyBorder="1" applyAlignment="1">
      <alignment wrapText="1"/>
    </xf>
    <xf numFmtId="0" fontId="43" fillId="28" borderId="33" xfId="0" applyFont="1" applyFill="1" applyBorder="1" applyAlignment="1" applyProtection="1">
      <alignment horizontal="center"/>
    </xf>
    <xf numFmtId="0" fontId="22" fillId="0" borderId="0" xfId="0" applyFont="1" applyBorder="1" applyProtection="1"/>
    <xf numFmtId="0" fontId="5" fillId="0" borderId="0" xfId="0" applyFont="1" applyBorder="1" applyProtection="1"/>
    <xf numFmtId="0" fontId="35" fillId="0" borderId="0" xfId="0" applyFont="1" applyBorder="1" applyAlignment="1" applyProtection="1">
      <alignment horizontal="left" vertical="center" wrapText="1" indent="2"/>
    </xf>
    <xf numFmtId="0" fontId="43" fillId="28" borderId="72" xfId="0" applyFont="1" applyFill="1" applyBorder="1" applyAlignment="1" applyProtection="1">
      <alignment horizontal="center"/>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protection locked="0"/>
    </xf>
    <xf numFmtId="0" fontId="3" fillId="0" borderId="74" xfId="0" applyFont="1" applyBorder="1" applyAlignment="1" applyProtection="1">
      <alignment horizontal="center"/>
      <protection locked="0"/>
    </xf>
    <xf numFmtId="0" fontId="3" fillId="0" borderId="75" xfId="0" applyFont="1" applyBorder="1" applyAlignment="1" applyProtection="1">
      <alignment horizontal="center"/>
      <protection locked="0"/>
    </xf>
    <xf numFmtId="0" fontId="9" fillId="0" borderId="27" xfId="0" applyFont="1" applyFill="1" applyBorder="1" applyAlignment="1" applyProtection="1">
      <alignment horizontal="center" vertical="center" wrapText="1"/>
      <protection locked="0"/>
    </xf>
    <xf numFmtId="0" fontId="3" fillId="0" borderId="76" xfId="0" applyFont="1" applyBorder="1" applyAlignment="1" applyProtection="1">
      <alignment horizontal="center"/>
      <protection locked="0"/>
    </xf>
    <xf numFmtId="0" fontId="3" fillId="0" borderId="77" xfId="0" applyFont="1" applyBorder="1" applyAlignment="1" applyProtection="1">
      <alignment horizontal="center"/>
      <protection locked="0"/>
    </xf>
    <xf numFmtId="0" fontId="3" fillId="0" borderId="78" xfId="0" applyFont="1" applyBorder="1" applyAlignment="1" applyProtection="1">
      <alignment horizontal="center"/>
      <protection locked="0"/>
    </xf>
    <xf numFmtId="0" fontId="9" fillId="0" borderId="59"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3" fillId="0" borderId="62" xfId="0" applyFont="1" applyBorder="1" applyAlignment="1" applyProtection="1">
      <alignment horizontal="center"/>
      <protection locked="0"/>
    </xf>
    <xf numFmtId="0" fontId="3" fillId="0" borderId="79" xfId="0" applyFont="1" applyBorder="1" applyAlignment="1" applyProtection="1">
      <alignment horizontal="center"/>
      <protection locked="0"/>
    </xf>
    <xf numFmtId="0" fontId="3" fillId="0" borderId="80"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9" fillId="0" borderId="27"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wrapText="1"/>
      <protection locked="0"/>
    </xf>
    <xf numFmtId="0" fontId="35" fillId="0" borderId="27" xfId="0" applyFont="1" applyBorder="1" applyAlignment="1" applyProtection="1">
      <alignment horizontal="left" vertical="center" wrapText="1"/>
      <protection locked="0"/>
    </xf>
    <xf numFmtId="0" fontId="35" fillId="0" borderId="29" xfId="0" applyFont="1" applyBorder="1" applyAlignment="1" applyProtection="1">
      <alignment horizontal="left" vertical="center" wrapText="1"/>
      <protection locked="0"/>
    </xf>
    <xf numFmtId="0" fontId="35" fillId="0" borderId="29" xfId="0" applyFont="1" applyFill="1" applyBorder="1" applyAlignment="1" applyProtection="1">
      <alignment horizontal="left" vertical="center" wrapText="1"/>
      <protection locked="0"/>
    </xf>
    <xf numFmtId="0" fontId="35" fillId="0" borderId="59" xfId="0" applyFont="1" applyFill="1" applyBorder="1" applyAlignment="1" applyProtection="1">
      <alignment horizontal="left" vertical="center" wrapText="1"/>
      <protection locked="0"/>
    </xf>
    <xf numFmtId="0" fontId="35" fillId="0" borderId="28" xfId="0" applyFont="1" applyFill="1" applyBorder="1" applyAlignment="1" applyProtection="1">
      <alignment horizontal="left" vertical="center" wrapText="1"/>
      <protection locked="0"/>
    </xf>
    <xf numFmtId="0" fontId="35" fillId="0" borderId="27" xfId="0" applyFont="1" applyFill="1" applyBorder="1" applyAlignment="1" applyProtection="1">
      <alignment horizontal="left" vertical="center" wrapText="1"/>
      <protection locked="0"/>
    </xf>
    <xf numFmtId="0" fontId="35" fillId="0" borderId="59" xfId="0" applyFont="1" applyBorder="1" applyAlignment="1" applyProtection="1">
      <alignment horizontal="left" vertical="center" wrapText="1"/>
      <protection locked="0"/>
    </xf>
    <xf numFmtId="0" fontId="35" fillId="0" borderId="28" xfId="0" applyFont="1" applyBorder="1" applyAlignment="1" applyProtection="1">
      <alignment horizontal="left" vertical="center" wrapText="1"/>
      <protection locked="0"/>
    </xf>
    <xf numFmtId="0" fontId="6" fillId="33" borderId="81" xfId="0" applyNumberFormat="1" applyFont="1" applyFill="1" applyBorder="1" applyAlignment="1" applyProtection="1">
      <alignment horizontal="center" vertical="center"/>
      <protection locked="0"/>
    </xf>
    <xf numFmtId="0" fontId="37" fillId="33" borderId="81" xfId="0" applyNumberFormat="1" applyFont="1" applyFill="1" applyBorder="1" applyAlignment="1" applyProtection="1">
      <alignment horizontal="left" vertical="center"/>
      <protection locked="0"/>
    </xf>
    <xf numFmtId="0" fontId="37" fillId="33" borderId="81" xfId="0" applyNumberFormat="1" applyFont="1" applyFill="1" applyBorder="1" applyAlignment="1" applyProtection="1">
      <alignment horizontal="left" vertical="center" wrapText="1"/>
      <protection locked="0"/>
    </xf>
    <xf numFmtId="0" fontId="6" fillId="33" borderId="81" xfId="0" applyNumberFormat="1" applyFont="1" applyFill="1" applyBorder="1" applyAlignment="1" applyProtection="1">
      <alignment horizontal="center" vertical="center" wrapText="1"/>
      <protection locked="0"/>
    </xf>
    <xf numFmtId="0" fontId="71" fillId="33" borderId="81" xfId="0" applyNumberFormat="1" applyFont="1" applyFill="1" applyBorder="1" applyAlignment="1" applyProtection="1">
      <alignment horizontal="left" vertical="center"/>
      <protection locked="0"/>
    </xf>
    <xf numFmtId="1" fontId="9" fillId="0" borderId="28" xfId="0" applyNumberFormat="1" applyFont="1" applyFill="1" applyBorder="1" applyAlignment="1" applyProtection="1">
      <alignment horizontal="center" vertical="center"/>
      <protection locked="0"/>
    </xf>
    <xf numFmtId="1" fontId="35" fillId="0" borderId="28" xfId="0" applyNumberFormat="1" applyFont="1" applyFill="1" applyBorder="1" applyAlignment="1" applyProtection="1">
      <alignment horizontal="left" vertical="center" wrapText="1"/>
      <protection locked="0"/>
    </xf>
    <xf numFmtId="0" fontId="9" fillId="60" borderId="27" xfId="0" applyFont="1" applyFill="1" applyBorder="1" applyAlignment="1" applyProtection="1">
      <alignment horizontal="center" vertical="center" wrapText="1"/>
      <protection locked="0"/>
    </xf>
    <xf numFmtId="0" fontId="35" fillId="60" borderId="27" xfId="0" applyFont="1" applyFill="1" applyBorder="1" applyAlignment="1" applyProtection="1">
      <alignment horizontal="left"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locked="0"/>
    </xf>
    <xf numFmtId="0" fontId="13" fillId="60" borderId="27" xfId="0" applyFont="1" applyFill="1" applyBorder="1" applyAlignment="1" applyProtection="1">
      <alignment horizontal="left" vertical="center" wrapText="1"/>
    </xf>
    <xf numFmtId="0" fontId="9" fillId="60" borderId="29" xfId="0" applyFont="1" applyFill="1" applyBorder="1" applyAlignment="1" applyProtection="1">
      <alignment horizontal="center" vertical="center"/>
    </xf>
    <xf numFmtId="0" fontId="35" fillId="60" borderId="59" xfId="0" applyFont="1" applyFill="1" applyBorder="1" applyAlignment="1" applyProtection="1">
      <alignment horizontal="center" vertical="center" wrapText="1"/>
      <protection locked="0"/>
    </xf>
    <xf numFmtId="0" fontId="37" fillId="33" borderId="81" xfId="0" applyNumberFormat="1" applyFont="1" applyFill="1" applyBorder="1" applyAlignment="1" applyProtection="1">
      <alignment horizontal="left" vertical="center"/>
    </xf>
    <xf numFmtId="0" fontId="6" fillId="33" borderId="81" xfId="0" applyNumberFormat="1" applyFont="1" applyFill="1" applyBorder="1" applyAlignment="1" applyProtection="1">
      <alignment horizontal="center" vertical="center"/>
    </xf>
    <xf numFmtId="0" fontId="71" fillId="33" borderId="81" xfId="0" applyNumberFormat="1" applyFont="1" applyFill="1" applyBorder="1" applyAlignment="1" applyProtection="1">
      <alignment horizontal="left" vertical="center"/>
    </xf>
    <xf numFmtId="0" fontId="9" fillId="0" borderId="31" xfId="0" applyFont="1" applyFill="1" applyBorder="1" applyAlignment="1" applyProtection="1">
      <alignment horizontal="left" vertical="center" wrapText="1"/>
    </xf>
    <xf numFmtId="0" fontId="10" fillId="0" borderId="0" xfId="0" applyFont="1" applyBorder="1" applyAlignment="1">
      <alignment wrapText="1"/>
    </xf>
    <xf numFmtId="0" fontId="10"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9" fillId="0" borderId="0" xfId="0" applyFont="1" applyFill="1" applyBorder="1" applyAlignment="1" applyProtection="1">
      <alignment vertical="top" wrapText="1"/>
    </xf>
    <xf numFmtId="0" fontId="110" fillId="0" borderId="30" xfId="100" applyFont="1" applyBorder="1" applyAlignment="1">
      <alignment horizontal="right"/>
    </xf>
    <xf numFmtId="0" fontId="0" fillId="60" borderId="0" xfId="0" applyFill="1" applyProtection="1"/>
    <xf numFmtId="0" fontId="70" fillId="61" borderId="41" xfId="153" applyFont="1" applyFill="1" applyBorder="1" applyAlignment="1" applyProtection="1">
      <alignment horizontal="center"/>
    </xf>
    <xf numFmtId="0" fontId="110" fillId="60" borderId="30" xfId="100" applyFont="1" applyFill="1" applyBorder="1"/>
    <xf numFmtId="0" fontId="110" fillId="60" borderId="30" xfId="100" applyFont="1" applyFill="1" applyBorder="1" applyAlignment="1">
      <alignment horizontal="right"/>
    </xf>
    <xf numFmtId="0" fontId="70" fillId="62" borderId="4" xfId="154" applyFont="1" applyFill="1" applyBorder="1" applyAlignment="1" applyProtection="1">
      <alignment horizontal="left" wrapText="1"/>
    </xf>
    <xf numFmtId="0" fontId="5" fillId="0" borderId="0" xfId="0" applyFont="1" applyBorder="1" applyAlignment="1" applyProtection="1">
      <alignment horizontal="left" wrapText="1"/>
    </xf>
    <xf numFmtId="0" fontId="0" fillId="0" borderId="0" xfId="0" applyFill="1" applyBorder="1" applyAlignment="1">
      <alignment wrapText="1"/>
    </xf>
    <xf numFmtId="0" fontId="10" fillId="0" borderId="0" xfId="0" applyFont="1" applyFill="1" applyBorder="1" applyAlignment="1" applyProtection="1"/>
    <xf numFmtId="0" fontId="0" fillId="0" borderId="0" xfId="0" applyFill="1" applyBorder="1" applyAlignment="1" applyProtection="1">
      <alignment vertical="center" wrapText="1"/>
    </xf>
    <xf numFmtId="0" fontId="43" fillId="0" borderId="0" xfId="0" applyFont="1" applyFill="1" applyBorder="1" applyAlignment="1" applyProtection="1">
      <alignment horizontal="center" wrapText="1"/>
    </xf>
    <xf numFmtId="0" fontId="0" fillId="0" borderId="0" xfId="0" applyFill="1" applyBorder="1" applyAlignment="1">
      <alignment horizontal="center" vertical="center" wrapText="1"/>
    </xf>
    <xf numFmtId="1" fontId="9" fillId="28" borderId="27" xfId="0" applyNumberFormat="1" applyFont="1" applyFill="1" applyBorder="1" applyAlignment="1" applyProtection="1">
      <alignment horizontal="center" vertical="center"/>
    </xf>
    <xf numFmtId="0" fontId="9" fillId="0" borderId="59"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left" vertical="center" wrapText="1" indent="1"/>
    </xf>
    <xf numFmtId="0" fontId="6" fillId="60" borderId="27" xfId="0" applyFont="1" applyFill="1" applyBorder="1" applyAlignment="1" applyProtection="1">
      <alignment horizontal="center" vertical="center"/>
    </xf>
    <xf numFmtId="0" fontId="13" fillId="60" borderId="29" xfId="0" applyFont="1" applyFill="1" applyBorder="1" applyAlignment="1" applyProtection="1">
      <alignment horizontal="left" vertical="center"/>
    </xf>
    <xf numFmtId="0" fontId="6" fillId="60" borderId="29" xfId="0" applyFont="1" applyFill="1" applyBorder="1" applyAlignment="1" applyProtection="1">
      <alignment horizontal="center" vertical="center"/>
    </xf>
    <xf numFmtId="0" fontId="3" fillId="0" borderId="0" xfId="0" applyFont="1" applyBorder="1" applyAlignment="1" applyProtection="1">
      <alignment horizontal="center"/>
      <protection locked="0"/>
    </xf>
    <xf numFmtId="0" fontId="3" fillId="0" borderId="0" xfId="0" applyFont="1" applyFill="1" applyBorder="1" applyAlignment="1">
      <alignment horizontal="center" vertical="center" wrapText="1"/>
    </xf>
    <xf numFmtId="0" fontId="9" fillId="60" borderId="59" xfId="0" applyFont="1" applyFill="1" applyBorder="1" applyAlignment="1" applyProtection="1">
      <alignment horizontal="right" wrapText="1"/>
      <protection locked="0"/>
    </xf>
    <xf numFmtId="0" fontId="9" fillId="60" borderId="27" xfId="0" applyFont="1" applyFill="1" applyBorder="1" applyAlignment="1" applyProtection="1">
      <alignment horizontal="center" vertical="center"/>
    </xf>
    <xf numFmtId="0" fontId="9" fillId="60" borderId="29" xfId="0" applyFont="1" applyFill="1" applyBorder="1" applyAlignment="1" applyProtection="1">
      <alignment horizontal="center" vertical="top"/>
    </xf>
    <xf numFmtId="0" fontId="9" fillId="28" borderId="27" xfId="0" applyFont="1" applyFill="1" applyBorder="1" applyAlignment="1" applyProtection="1">
      <alignment horizontal="left" vertical="center" wrapText="1" indent="1"/>
    </xf>
    <xf numFmtId="0" fontId="9" fillId="60" borderId="59" xfId="0" applyFont="1" applyFill="1" applyBorder="1" applyAlignment="1" applyProtection="1">
      <alignment horizontal="center" vertical="top"/>
    </xf>
    <xf numFmtId="0" fontId="9" fillId="60" borderId="28" xfId="0" applyFont="1" applyFill="1" applyBorder="1" applyAlignment="1" applyProtection="1">
      <alignment horizontal="center" vertical="top"/>
    </xf>
    <xf numFmtId="0" fontId="23" fillId="60" borderId="0" xfId="0" applyFont="1" applyFill="1" applyProtection="1"/>
    <xf numFmtId="0" fontId="23" fillId="28" borderId="0" xfId="0" applyFont="1" applyFill="1" applyBorder="1" applyProtection="1"/>
    <xf numFmtId="0" fontId="6" fillId="60" borderId="29" xfId="0" applyFont="1" applyFill="1" applyBorder="1" applyAlignment="1" applyProtection="1">
      <alignment horizontal="left" vertical="center" wrapText="1"/>
    </xf>
    <xf numFmtId="0" fontId="9" fillId="60" borderId="29" xfId="0" applyFont="1" applyFill="1" applyBorder="1" applyAlignment="1" applyProtection="1">
      <alignment horizontal="left" vertical="center" wrapText="1"/>
    </xf>
    <xf numFmtId="0" fontId="9" fillId="60" borderId="29" xfId="0" applyFont="1" applyFill="1" applyBorder="1" applyAlignment="1" applyProtection="1">
      <alignment horizontal="left" vertical="center" wrapText="1" indent="2"/>
    </xf>
    <xf numFmtId="0" fontId="9" fillId="60" borderId="29" xfId="0" applyFont="1" applyFill="1" applyBorder="1" applyAlignment="1" applyProtection="1">
      <alignment horizontal="left" vertical="center" indent="2"/>
    </xf>
    <xf numFmtId="0" fontId="9" fillId="60" borderId="29" xfId="0" applyFont="1" applyFill="1" applyBorder="1" applyAlignment="1" applyProtection="1">
      <alignment horizontal="left" vertical="center" indent="1"/>
    </xf>
    <xf numFmtId="0" fontId="9" fillId="60" borderId="29" xfId="0" applyFont="1" applyFill="1" applyBorder="1" applyAlignment="1" applyProtection="1">
      <alignment horizontal="left" vertical="center" wrapText="1" indent="3"/>
    </xf>
    <xf numFmtId="0" fontId="9" fillId="60" borderId="59" xfId="0" applyFont="1" applyFill="1" applyBorder="1" applyAlignment="1" applyProtection="1">
      <alignment horizontal="left" vertical="center" indent="2"/>
    </xf>
    <xf numFmtId="0" fontId="9" fillId="60" borderId="59" xfId="0" applyFont="1" applyFill="1" applyBorder="1" applyAlignment="1" applyProtection="1">
      <alignment horizontal="center" vertical="center"/>
    </xf>
    <xf numFmtId="0" fontId="13" fillId="60" borderId="59" xfId="0" applyFont="1" applyFill="1" applyBorder="1" applyAlignment="1" applyProtection="1">
      <alignment horizontal="left" vertical="center"/>
    </xf>
    <xf numFmtId="0" fontId="9" fillId="60" borderId="28" xfId="0" applyFont="1" applyFill="1" applyBorder="1" applyAlignment="1" applyProtection="1">
      <alignment horizontal="center" vertical="center"/>
    </xf>
    <xf numFmtId="0" fontId="9" fillId="60" borderId="28" xfId="0" applyFont="1" applyFill="1" applyBorder="1" applyAlignment="1" applyProtection="1">
      <alignment horizontal="left" vertical="center" wrapText="1"/>
    </xf>
    <xf numFmtId="0" fontId="59" fillId="60" borderId="0" xfId="0" applyFont="1" applyFill="1" applyProtection="1"/>
    <xf numFmtId="0" fontId="6" fillId="60" borderId="57" xfId="0" applyFont="1" applyFill="1" applyBorder="1" applyAlignment="1" applyProtection="1">
      <alignment horizontal="center" vertical="center"/>
    </xf>
    <xf numFmtId="0" fontId="6" fillId="28" borderId="82" xfId="0" applyFont="1" applyFill="1" applyBorder="1" applyAlignment="1" applyProtection="1">
      <alignment horizontal="center" vertical="center"/>
    </xf>
    <xf numFmtId="0" fontId="4" fillId="0" borderId="83" xfId="0" applyFont="1" applyFill="1" applyBorder="1" applyAlignment="1">
      <alignment vertical="top" wrapText="1"/>
    </xf>
    <xf numFmtId="49" fontId="2" fillId="0" borderId="39" xfId="0" applyNumberFormat="1" applyFont="1" applyFill="1" applyBorder="1" applyAlignment="1">
      <alignment vertical="top" wrapText="1"/>
    </xf>
    <xf numFmtId="0" fontId="3" fillId="0" borderId="84" xfId="0" applyFont="1" applyFill="1" applyBorder="1" applyAlignment="1">
      <alignment vertical="top" wrapText="1"/>
    </xf>
    <xf numFmtId="0" fontId="9" fillId="63" borderId="30" xfId="0" applyFont="1" applyFill="1" applyBorder="1" applyAlignment="1">
      <alignment horizontal="center" wrapText="1"/>
    </xf>
    <xf numFmtId="0" fontId="9" fillId="0" borderId="27" xfId="106" applyFont="1" applyFill="1" applyBorder="1" applyAlignment="1" applyProtection="1">
      <alignment horizontal="left" vertical="center" wrapText="1" indent="2"/>
    </xf>
    <xf numFmtId="0" fontId="9" fillId="0" borderId="29" xfId="106" applyFont="1" applyFill="1" applyBorder="1" applyAlignment="1" applyProtection="1">
      <alignment horizontal="left" vertical="center" indent="1"/>
    </xf>
    <xf numFmtId="0" fontId="9" fillId="0" borderId="29" xfId="0" applyFont="1" applyFill="1" applyBorder="1" applyAlignment="1" applyProtection="1">
      <alignment horizontal="left" vertical="center" wrapText="1" indent="1"/>
    </xf>
    <xf numFmtId="0" fontId="9" fillId="0" borderId="27" xfId="0" applyFont="1" applyFill="1" applyBorder="1" applyAlignment="1" applyProtection="1">
      <alignment horizontal="left" vertical="center" wrapText="1" indent="1"/>
    </xf>
    <xf numFmtId="0" fontId="9" fillId="0" borderId="29" xfId="106" applyFont="1" applyFill="1" applyBorder="1" applyAlignment="1" applyProtection="1">
      <alignment horizontal="left" vertical="center" wrapText="1" indent="2"/>
    </xf>
    <xf numFmtId="0" fontId="9" fillId="0" borderId="29" xfId="0" applyFont="1" applyFill="1" applyBorder="1" applyAlignment="1" applyProtection="1">
      <alignment horizontal="left" vertical="center" wrapText="1" indent="3"/>
    </xf>
    <xf numFmtId="0" fontId="111" fillId="0" borderId="10" xfId="0" applyFont="1" applyBorder="1" applyAlignment="1"/>
    <xf numFmtId="0" fontId="3" fillId="0" borderId="85" xfId="0" applyFont="1" applyFill="1" applyBorder="1" applyAlignment="1">
      <alignment vertical="top" wrapText="1"/>
    </xf>
    <xf numFmtId="0" fontId="4" fillId="0" borderId="30" xfId="0" applyFont="1" applyFill="1" applyBorder="1" applyAlignment="1">
      <alignment horizontal="left" vertical="center" wrapText="1"/>
    </xf>
    <xf numFmtId="0" fontId="4" fillId="0" borderId="30" xfId="0" applyFont="1" applyFill="1" applyBorder="1" applyAlignment="1">
      <alignment horizontal="left" vertical="center"/>
    </xf>
    <xf numFmtId="0" fontId="40" fillId="0" borderId="0" xfId="0" applyFont="1" applyAlignment="1" applyProtection="1">
      <alignment horizontal="left"/>
    </xf>
    <xf numFmtId="0" fontId="112" fillId="0" borderId="10" xfId="0" applyFont="1" applyBorder="1" applyAlignment="1" applyProtection="1">
      <alignment horizontal="left"/>
    </xf>
    <xf numFmtId="0" fontId="9" fillId="0" borderId="27" xfId="0" applyFont="1" applyFill="1" applyBorder="1" applyAlignment="1" applyProtection="1">
      <alignment horizontal="left" vertical="center" wrapText="1" indent="2"/>
    </xf>
    <xf numFmtId="0" fontId="9" fillId="0" borderId="28" xfId="0" applyFont="1" applyFill="1" applyBorder="1" applyAlignment="1" applyProtection="1">
      <alignment horizontal="left" vertical="center" wrapText="1" indent="1"/>
    </xf>
    <xf numFmtId="0" fontId="9" fillId="0" borderId="29" xfId="106" applyFont="1" applyFill="1" applyBorder="1" applyAlignment="1" applyProtection="1">
      <alignment horizontal="left" vertical="center" wrapText="1"/>
    </xf>
    <xf numFmtId="0" fontId="9" fillId="0" borderId="29" xfId="0" applyFont="1" applyFill="1" applyBorder="1" applyAlignment="1" applyProtection="1">
      <alignment horizontal="left" vertical="center"/>
    </xf>
    <xf numFmtId="167" fontId="9" fillId="0" borderId="27" xfId="0" applyNumberFormat="1" applyFont="1" applyBorder="1" applyAlignment="1" applyProtection="1">
      <alignment horizontal="center" vertical="center" wrapText="1"/>
    </xf>
    <xf numFmtId="167" fontId="35" fillId="0" borderId="27" xfId="0" applyNumberFormat="1" applyFont="1" applyBorder="1" applyAlignment="1" applyProtection="1">
      <alignment horizontal="left" vertical="center" wrapText="1"/>
      <protection locked="0"/>
    </xf>
    <xf numFmtId="0" fontId="119" fillId="0" borderId="27" xfId="0" applyFont="1" applyFill="1" applyBorder="1" applyAlignment="1" applyProtection="1">
      <alignment horizontal="center" vertical="center" wrapText="1"/>
      <protection locked="0"/>
    </xf>
    <xf numFmtId="0" fontId="119" fillId="0" borderId="29" xfId="0" applyFont="1" applyBorder="1" applyAlignment="1" applyProtection="1">
      <alignment horizontal="center" vertical="center" wrapText="1"/>
      <protection locked="0"/>
    </xf>
    <xf numFmtId="0" fontId="119" fillId="60" borderId="27" xfId="0" applyFont="1" applyFill="1" applyBorder="1" applyAlignment="1" applyProtection="1">
      <alignment horizontal="center" vertical="center" wrapText="1"/>
      <protection locked="0"/>
    </xf>
    <xf numFmtId="0" fontId="119" fillId="0" borderId="29" xfId="0" applyFont="1" applyFill="1" applyBorder="1" applyAlignment="1" applyProtection="1">
      <alignment horizontal="center" vertical="center" wrapText="1"/>
      <protection locked="0"/>
    </xf>
    <xf numFmtId="0" fontId="119" fillId="0" borderId="29" xfId="0" applyNumberFormat="1" applyFont="1" applyFill="1" applyBorder="1" applyAlignment="1" applyProtection="1">
      <alignment horizontal="center" vertical="center" wrapText="1"/>
      <protection locked="0"/>
    </xf>
    <xf numFmtId="0" fontId="119" fillId="0" borderId="59" xfId="0" applyNumberFormat="1" applyFont="1" applyFill="1" applyBorder="1" applyAlignment="1" applyProtection="1">
      <alignment horizontal="center" vertical="center" wrapText="1"/>
      <protection locked="0"/>
    </xf>
    <xf numFmtId="0" fontId="119" fillId="0" borderId="28" xfId="0" applyNumberFormat="1" applyFont="1" applyFill="1" applyBorder="1" applyAlignment="1" applyProtection="1">
      <alignment horizontal="center" vertical="center" wrapText="1"/>
      <protection locked="0"/>
    </xf>
    <xf numFmtId="0" fontId="119" fillId="0" borderId="27" xfId="0" applyFont="1" applyBorder="1" applyAlignment="1" applyProtection="1">
      <alignment horizontal="center" vertical="center" wrapText="1"/>
      <protection locked="0"/>
    </xf>
    <xf numFmtId="0" fontId="119" fillId="0" borderId="59" xfId="0" applyFont="1" applyBorder="1" applyAlignment="1" applyProtection="1">
      <alignment horizontal="center" vertical="center" wrapText="1"/>
      <protection locked="0"/>
    </xf>
    <xf numFmtId="167" fontId="9" fillId="0" borderId="29" xfId="0" applyNumberFormat="1" applyFont="1" applyBorder="1" applyAlignment="1" applyProtection="1">
      <alignment horizontal="center" vertical="center" wrapText="1"/>
      <protection locked="0"/>
    </xf>
    <xf numFmtId="167" fontId="9" fillId="0" borderId="27" xfId="0" applyNumberFormat="1" applyFont="1" applyFill="1" applyBorder="1" applyAlignment="1" applyProtection="1">
      <alignment horizontal="center" vertical="center"/>
      <protection locked="0"/>
    </xf>
    <xf numFmtId="0" fontId="15" fillId="26" borderId="0" xfId="0" applyFont="1" applyFill="1" applyBorder="1" applyAlignment="1">
      <alignment vertical="top" wrapText="1"/>
    </xf>
    <xf numFmtId="0" fontId="0" fillId="26" borderId="0" xfId="0" applyFill="1" applyBorder="1" applyAlignment="1">
      <alignment vertical="top" wrapText="1"/>
    </xf>
    <xf numFmtId="0" fontId="0" fillId="26" borderId="0" xfId="0" applyFill="1" applyBorder="1" applyAlignment="1"/>
    <xf numFmtId="0" fontId="0" fillId="26" borderId="0" xfId="0" applyFill="1"/>
    <xf numFmtId="0" fontId="4" fillId="34" borderId="0" xfId="0" applyFont="1" applyFill="1" applyAlignment="1">
      <alignment horizontal="center" vertical="distributed"/>
    </xf>
    <xf numFmtId="0" fontId="38" fillId="34" borderId="0" xfId="0" applyFont="1" applyFill="1" applyAlignment="1">
      <alignment horizontal="center"/>
    </xf>
    <xf numFmtId="0" fontId="12" fillId="25" borderId="0" xfId="0" applyFont="1" applyFill="1" applyAlignment="1">
      <alignment horizontal="center" vertical="center"/>
    </xf>
    <xf numFmtId="0" fontId="12" fillId="25" borderId="0" xfId="0" applyFont="1" applyFill="1" applyAlignment="1"/>
    <xf numFmtId="0" fontId="15" fillId="26" borderId="36" xfId="0" applyFont="1" applyFill="1" applyBorder="1" applyAlignment="1">
      <alignment vertical="top" wrapText="1"/>
    </xf>
    <xf numFmtId="0" fontId="0" fillId="26" borderId="36" xfId="0" applyFill="1" applyBorder="1" applyAlignment="1">
      <alignment vertical="top" wrapText="1"/>
    </xf>
    <xf numFmtId="0" fontId="0" fillId="26" borderId="36" xfId="0" applyFill="1" applyBorder="1" applyAlignment="1"/>
    <xf numFmtId="0" fontId="15" fillId="26" borderId="10" xfId="0" applyFont="1" applyFill="1" applyBorder="1" applyAlignment="1">
      <alignment horizontal="left" vertical="top"/>
    </xf>
    <xf numFmtId="0" fontId="23" fillId="26" borderId="0" xfId="0" applyFont="1" applyFill="1" applyBorder="1" applyAlignment="1">
      <alignment vertical="top" wrapText="1"/>
    </xf>
    <xf numFmtId="0" fontId="23" fillId="26" borderId="0" xfId="0" applyFont="1" applyFill="1" applyBorder="1" applyAlignment="1"/>
    <xf numFmtId="0" fontId="15" fillId="26" borderId="0" xfId="0" applyFont="1" applyFill="1" applyBorder="1" applyAlignment="1">
      <alignment horizontal="left" vertical="top"/>
    </xf>
    <xf numFmtId="0" fontId="1" fillId="26" borderId="0" xfId="0" applyFont="1" applyFill="1"/>
    <xf numFmtId="0" fontId="5" fillId="25" borderId="0" xfId="0" applyFont="1" applyFill="1" applyAlignment="1">
      <alignment horizontal="center" wrapText="1"/>
    </xf>
    <xf numFmtId="0" fontId="4" fillId="0" borderId="0" xfId="0" applyFont="1" applyFill="1" applyBorder="1" applyAlignment="1">
      <alignment horizontal="left" vertical="top" wrapText="1"/>
    </xf>
    <xf numFmtId="0" fontId="3" fillId="0" borderId="86" xfId="0"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87" xfId="0" applyFont="1" applyFill="1" applyBorder="1" applyAlignment="1">
      <alignment horizontal="left" vertical="top" wrapText="1"/>
    </xf>
    <xf numFmtId="0" fontId="4" fillId="0" borderId="86" xfId="0" applyFont="1" applyFill="1" applyBorder="1" applyAlignment="1">
      <alignment horizontal="left" vertical="center" wrapText="1" indent="3"/>
    </xf>
    <xf numFmtId="0" fontId="4" fillId="0" borderId="73" xfId="0" applyFont="1" applyFill="1" applyBorder="1" applyAlignment="1">
      <alignment horizontal="left" vertical="center" wrapText="1" indent="3"/>
    </xf>
    <xf numFmtId="0" fontId="4" fillId="0" borderId="87" xfId="0" applyFont="1" applyFill="1" applyBorder="1" applyAlignment="1">
      <alignment horizontal="left" vertical="center" wrapText="1" indent="3"/>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5" fillId="25" borderId="0" xfId="0" applyNumberFormat="1"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wrapText="1"/>
    </xf>
    <xf numFmtId="0" fontId="14" fillId="0" borderId="0" xfId="0" applyFont="1" applyFill="1" applyAlignment="1">
      <alignment vertical="top" wrapText="1"/>
    </xf>
    <xf numFmtId="0" fontId="5" fillId="35" borderId="0" xfId="0" applyFont="1" applyFill="1" applyBorder="1" applyAlignment="1">
      <alignment horizontal="center"/>
    </xf>
    <xf numFmtId="0" fontId="3" fillId="0" borderId="0" xfId="0" applyFont="1" applyFill="1" applyBorder="1" applyAlignment="1">
      <alignment vertical="top" wrapText="1"/>
    </xf>
    <xf numFmtId="0" fontId="12" fillId="24" borderId="0" xfId="0" applyFont="1" applyFill="1" applyAlignment="1">
      <alignment horizontal="center" vertical="center"/>
    </xf>
    <xf numFmtId="0" fontId="3" fillId="0" borderId="0" xfId="0" applyFont="1" applyFill="1" applyBorder="1" applyAlignment="1" applyProtection="1">
      <alignment horizontal="left" vertical="top" wrapText="1"/>
      <protection locked="0"/>
    </xf>
    <xf numFmtId="0" fontId="5" fillId="25" borderId="0" xfId="0" applyFont="1" applyFill="1" applyAlignment="1">
      <alignment horizontal="center"/>
    </xf>
    <xf numFmtId="0" fontId="4" fillId="0" borderId="0" xfId="0" applyFont="1" applyFill="1" applyAlignment="1">
      <alignment vertical="top" wrapText="1"/>
    </xf>
    <xf numFmtId="0" fontId="22" fillId="0" borderId="0" xfId="0" applyFont="1" applyFill="1" applyAlignment="1">
      <alignment wrapText="1"/>
    </xf>
    <xf numFmtId="0" fontId="12" fillId="24" borderId="0" xfId="0" applyFont="1" applyFill="1" applyAlignment="1">
      <alignment horizontal="center"/>
    </xf>
    <xf numFmtId="0" fontId="5" fillId="25" borderId="0" xfId="0" applyFont="1" applyFill="1" applyAlignment="1">
      <alignment horizontal="center" vertical="center"/>
    </xf>
    <xf numFmtId="0" fontId="5" fillId="0" borderId="88" xfId="0" applyFont="1" applyFill="1" applyBorder="1" applyAlignment="1">
      <alignment horizontal="center" vertical="center"/>
    </xf>
    <xf numFmtId="0" fontId="9" fillId="30" borderId="86" xfId="0" applyFont="1" applyFill="1" applyBorder="1" applyAlignment="1">
      <alignment horizontal="center" vertical="center" wrapText="1"/>
    </xf>
    <xf numFmtId="0" fontId="9" fillId="30" borderId="87" xfId="0" applyFont="1" applyFill="1" applyBorder="1" applyAlignment="1">
      <alignment horizontal="center" vertical="center" wrapText="1"/>
    </xf>
    <xf numFmtId="0" fontId="9" fillId="30" borderId="48" xfId="0" applyFont="1" applyFill="1" applyBorder="1" applyAlignment="1">
      <alignment horizontal="center" vertical="center" wrapText="1"/>
    </xf>
    <xf numFmtId="0" fontId="9" fillId="30" borderId="45" xfId="0" applyFont="1" applyFill="1" applyBorder="1" applyAlignment="1">
      <alignment horizontal="center" vertical="center" wrapText="1"/>
    </xf>
    <xf numFmtId="0" fontId="9" fillId="30" borderId="78" xfId="0" applyFont="1" applyFill="1" applyBorder="1" applyAlignment="1">
      <alignment horizontal="center" vertical="center" wrapText="1"/>
    </xf>
    <xf numFmtId="0" fontId="40" fillId="0" borderId="62" xfId="0" applyFont="1" applyFill="1" applyBorder="1" applyAlignment="1">
      <alignment horizontal="center" vertical="top" wrapText="1"/>
    </xf>
    <xf numFmtId="0" fontId="40" fillId="0" borderId="0" xfId="0" applyFont="1" applyFill="1" applyBorder="1" applyAlignment="1">
      <alignment horizontal="center" vertical="top" wrapText="1"/>
    </xf>
    <xf numFmtId="0" fontId="3" fillId="30" borderId="48" xfId="0" applyFont="1" applyFill="1" applyBorder="1" applyAlignment="1">
      <alignment horizontal="center" vertical="center" wrapText="1"/>
    </xf>
    <xf numFmtId="0" fontId="3" fillId="30" borderId="78" xfId="0" applyFont="1" applyFill="1" applyBorder="1" applyAlignment="1">
      <alignment horizontal="center" vertical="center" wrapText="1"/>
    </xf>
    <xf numFmtId="0" fontId="9" fillId="30" borderId="86" xfId="0" applyFont="1" applyFill="1" applyBorder="1" applyAlignment="1">
      <alignment horizontal="center"/>
    </xf>
    <xf numFmtId="0" fontId="9" fillId="30" borderId="73" xfId="0" applyFont="1" applyFill="1" applyBorder="1" applyAlignment="1">
      <alignment horizontal="center"/>
    </xf>
    <xf numFmtId="0" fontId="9" fillId="30" borderId="87" xfId="0" applyFont="1" applyFill="1" applyBorder="1" applyAlignment="1">
      <alignment horizontal="center"/>
    </xf>
    <xf numFmtId="0" fontId="3" fillId="30" borderId="86" xfId="0" applyFont="1" applyFill="1" applyBorder="1" applyAlignment="1">
      <alignment horizontal="center" vertical="center" wrapText="1"/>
    </xf>
    <xf numFmtId="0" fontId="3" fillId="30" borderId="73" xfId="0" applyFont="1" applyFill="1" applyBorder="1" applyAlignment="1">
      <alignment horizontal="center" vertical="center" wrapText="1"/>
    </xf>
    <xf numFmtId="0" fontId="3" fillId="30" borderId="87" xfId="0" applyFont="1" applyFill="1" applyBorder="1" applyAlignment="1">
      <alignment horizontal="center" vertical="center" wrapText="1"/>
    </xf>
    <xf numFmtId="0" fontId="9" fillId="29" borderId="86" xfId="0" applyFont="1" applyFill="1" applyBorder="1" applyAlignment="1">
      <alignment horizontal="center" vertical="center" wrapText="1"/>
    </xf>
    <xf numFmtId="0" fontId="9" fillId="29" borderId="73" xfId="0" applyFont="1" applyFill="1" applyBorder="1" applyAlignment="1">
      <alignment horizontal="center" vertical="center" wrapText="1"/>
    </xf>
    <xf numFmtId="0" fontId="9" fillId="29" borderId="87" xfId="0" applyFont="1" applyFill="1" applyBorder="1" applyAlignment="1">
      <alignment horizontal="center" vertical="center" wrapText="1"/>
    </xf>
    <xf numFmtId="0" fontId="4" fillId="29" borderId="48" xfId="0" applyFont="1" applyFill="1" applyBorder="1" applyAlignment="1">
      <alignment horizontal="center" vertical="center" wrapText="1"/>
    </xf>
    <xf numFmtId="0" fontId="4" fillId="29" borderId="78" xfId="0" applyFont="1" applyFill="1" applyBorder="1" applyAlignment="1">
      <alignment horizontal="center" vertical="center" wrapText="1"/>
    </xf>
    <xf numFmtId="0" fontId="4" fillId="30" borderId="89" xfId="0" applyFont="1" applyFill="1" applyBorder="1" applyAlignment="1">
      <alignment horizontal="center" vertical="center"/>
    </xf>
    <xf numFmtId="0" fontId="4" fillId="30" borderId="90" xfId="0" applyFont="1" applyFill="1" applyBorder="1" applyAlignment="1">
      <alignment horizontal="center" vertical="center"/>
    </xf>
    <xf numFmtId="0" fontId="4" fillId="30" borderId="91" xfId="0" applyFont="1" applyFill="1" applyBorder="1" applyAlignment="1">
      <alignment horizontal="center" vertical="center"/>
    </xf>
    <xf numFmtId="0" fontId="4" fillId="30" borderId="92" xfId="0" applyFont="1" applyFill="1" applyBorder="1" applyAlignment="1">
      <alignment horizontal="center" vertical="center"/>
    </xf>
    <xf numFmtId="0" fontId="18" fillId="0" borderId="36" xfId="0" applyFont="1" applyFill="1" applyBorder="1" applyAlignment="1" applyProtection="1">
      <alignment horizontal="left" wrapText="1"/>
      <protection locked="0"/>
    </xf>
    <xf numFmtId="0" fontId="5" fillId="25" borderId="0" xfId="0" applyFont="1" applyFill="1" applyAlignment="1">
      <alignment horizontal="left"/>
    </xf>
    <xf numFmtId="0" fontId="62" fillId="28" borderId="98" xfId="0" applyFont="1" applyFill="1" applyBorder="1" applyAlignment="1" applyProtection="1">
      <alignment horizontal="center"/>
    </xf>
    <xf numFmtId="0" fontId="5" fillId="25" borderId="0" xfId="0" applyFont="1" applyFill="1" applyBorder="1" applyAlignment="1" applyProtection="1"/>
    <xf numFmtId="0" fontId="1" fillId="25" borderId="0" xfId="0" applyFont="1" applyFill="1" applyBorder="1" applyAlignment="1" applyProtection="1"/>
    <xf numFmtId="0" fontId="21" fillId="25" borderId="0" xfId="0" applyFont="1" applyFill="1" applyBorder="1" applyAlignment="1" applyProtection="1">
      <alignment wrapText="1"/>
    </xf>
    <xf numFmtId="0" fontId="9" fillId="0" borderId="0" xfId="0" applyFont="1" applyFill="1" applyAlignment="1" applyProtection="1">
      <alignment horizontal="left" vertical="top" wrapText="1"/>
    </xf>
    <xf numFmtId="0" fontId="4" fillId="0" borderId="0" xfId="0" applyFont="1" applyFill="1" applyBorder="1" applyAlignment="1" applyProtection="1">
      <alignment horizontal="left" wrapText="1"/>
    </xf>
    <xf numFmtId="0" fontId="114" fillId="0" borderId="10" xfId="0" applyFont="1" applyFill="1" applyBorder="1" applyAlignment="1" applyProtection="1">
      <alignment horizontal="left" wrapText="1"/>
    </xf>
    <xf numFmtId="0" fontId="115" fillId="0" borderId="10" xfId="0" applyFont="1" applyBorder="1" applyAlignment="1"/>
    <xf numFmtId="0" fontId="6" fillId="0" borderId="0" xfId="0" applyFont="1" applyFill="1" applyAlignment="1" applyProtection="1">
      <alignment horizontal="left" vertical="top" wrapText="1"/>
    </xf>
    <xf numFmtId="0" fontId="9" fillId="29" borderId="86" xfId="0" applyFont="1" applyFill="1" applyBorder="1" applyAlignment="1" applyProtection="1">
      <alignment horizontal="center" vertical="center" wrapText="1"/>
    </xf>
    <xf numFmtId="0" fontId="9" fillId="29" borderId="73" xfId="0" applyFont="1" applyFill="1" applyBorder="1" applyAlignment="1" applyProtection="1">
      <alignment horizontal="center" vertical="center" wrapText="1"/>
    </xf>
    <xf numFmtId="0" fontId="9" fillId="29" borderId="87" xfId="0" applyFont="1" applyFill="1" applyBorder="1" applyAlignment="1" applyProtection="1">
      <alignment horizontal="center" vertical="center" wrapText="1"/>
    </xf>
    <xf numFmtId="0" fontId="0" fillId="29" borderId="73" xfId="0" applyFill="1" applyBorder="1" applyAlignment="1" applyProtection="1">
      <alignment horizontal="center" vertical="center"/>
    </xf>
    <xf numFmtId="0" fontId="0" fillId="29" borderId="87" xfId="0" applyFill="1" applyBorder="1" applyAlignment="1" applyProtection="1">
      <alignment horizontal="center" vertical="center"/>
    </xf>
    <xf numFmtId="0" fontId="0" fillId="29" borderId="73" xfId="0" applyFill="1" applyBorder="1" applyAlignment="1" applyProtection="1">
      <alignment wrapText="1"/>
    </xf>
    <xf numFmtId="0" fontId="0" fillId="29" borderId="87" xfId="0" applyFill="1" applyBorder="1" applyAlignment="1" applyProtection="1">
      <alignment wrapText="1"/>
    </xf>
    <xf numFmtId="0" fontId="23" fillId="29" borderId="73" xfId="0" applyFont="1" applyFill="1" applyBorder="1" applyAlignment="1" applyProtection="1">
      <alignment horizontal="center" vertical="center" wrapText="1"/>
    </xf>
    <xf numFmtId="0" fontId="23" fillId="29" borderId="87" xfId="0" applyFont="1" applyFill="1" applyBorder="1" applyAlignment="1" applyProtection="1">
      <alignment horizontal="center" vertical="center" wrapText="1"/>
    </xf>
    <xf numFmtId="0" fontId="113" fillId="0" borderId="0" xfId="0" applyFont="1" applyFill="1" applyAlignment="1" applyProtection="1">
      <alignment horizontal="left" vertical="top" wrapText="1"/>
    </xf>
    <xf numFmtId="0" fontId="0" fillId="29" borderId="73" xfId="0" applyFill="1" applyBorder="1" applyAlignment="1" applyProtection="1">
      <alignment horizontal="center" vertical="center" wrapText="1"/>
    </xf>
    <xf numFmtId="0" fontId="0" fillId="29" borderId="87" xfId="0" applyFill="1" applyBorder="1" applyAlignment="1" applyProtection="1">
      <alignment horizontal="center" vertical="center" wrapText="1"/>
    </xf>
    <xf numFmtId="0" fontId="3" fillId="0" borderId="37" xfId="0" applyFont="1" applyBorder="1" applyAlignment="1" applyProtection="1">
      <alignment horizontal="left" wrapText="1"/>
      <protection locked="0"/>
    </xf>
    <xf numFmtId="0" fontId="3" fillId="0" borderId="35" xfId="0" applyFont="1" applyBorder="1" applyAlignment="1" applyProtection="1">
      <alignment horizontal="left" wrapText="1"/>
      <protection locked="0"/>
    </xf>
    <xf numFmtId="0" fontId="3" fillId="0" borderId="93" xfId="0" applyFont="1" applyBorder="1" applyAlignment="1" applyProtection="1">
      <alignment horizontal="left" wrapText="1"/>
      <protection locked="0"/>
    </xf>
    <xf numFmtId="0" fontId="1" fillId="0" borderId="0" xfId="0" applyFont="1" applyBorder="1" applyAlignment="1" applyProtection="1"/>
    <xf numFmtId="0" fontId="0" fillId="0" borderId="0" xfId="0" applyAlignment="1" applyProtection="1"/>
    <xf numFmtId="0" fontId="3" fillId="0" borderId="75" xfId="0" applyFont="1" applyBorder="1" applyAlignment="1" applyProtection="1">
      <alignment horizontal="left" wrapText="1"/>
      <protection locked="0"/>
    </xf>
    <xf numFmtId="0" fontId="3" fillId="0" borderId="65" xfId="0" applyFont="1" applyBorder="1" applyAlignment="1" applyProtection="1">
      <alignment horizontal="left" wrapText="1"/>
      <protection locked="0"/>
    </xf>
    <xf numFmtId="0" fontId="3" fillId="0" borderId="94" xfId="0" applyFont="1" applyBorder="1" applyAlignment="1" applyProtection="1">
      <alignment horizontal="left" wrapText="1"/>
      <protection locked="0"/>
    </xf>
    <xf numFmtId="0" fontId="4" fillId="28" borderId="99" xfId="0" applyFont="1" applyFill="1" applyBorder="1" applyAlignment="1" applyProtection="1">
      <alignment horizontal="left"/>
    </xf>
    <xf numFmtId="0" fontId="4" fillId="28" borderId="73" xfId="0" applyFont="1" applyFill="1" applyBorder="1" applyAlignment="1" applyProtection="1">
      <alignment horizontal="left"/>
    </xf>
    <xf numFmtId="0" fontId="4" fillId="28" borderId="87" xfId="0" applyFont="1" applyFill="1" applyBorder="1" applyAlignment="1" applyProtection="1">
      <alignment horizontal="left"/>
    </xf>
    <xf numFmtId="0" fontId="3" fillId="0" borderId="95" xfId="0" applyFont="1" applyBorder="1" applyAlignment="1" applyProtection="1">
      <alignment horizontal="left" wrapText="1"/>
      <protection locked="0"/>
    </xf>
    <xf numFmtId="0" fontId="3" fillId="0" borderId="96" xfId="0" applyFont="1" applyBorder="1" applyAlignment="1" applyProtection="1">
      <alignment horizontal="left" wrapText="1"/>
      <protection locked="0"/>
    </xf>
    <xf numFmtId="0" fontId="3" fillId="0" borderId="97" xfId="0" applyFont="1" applyBorder="1" applyAlignment="1" applyProtection="1">
      <alignment horizontal="left" wrapText="1"/>
      <protection locked="0"/>
    </xf>
    <xf numFmtId="0" fontId="5" fillId="25" borderId="0" xfId="0" applyFont="1" applyFill="1" applyAlignment="1" applyProtection="1"/>
    <xf numFmtId="0" fontId="1" fillId="25" borderId="0" xfId="0" applyFont="1" applyFill="1" applyAlignment="1" applyProtection="1"/>
    <xf numFmtId="0" fontId="21" fillId="25" borderId="0" xfId="0" applyFont="1" applyFill="1" applyAlignment="1" applyProtection="1">
      <alignment wrapText="1"/>
    </xf>
    <xf numFmtId="0" fontId="10" fillId="63" borderId="89" xfId="0" applyFont="1" applyFill="1" applyBorder="1" applyAlignment="1" applyProtection="1">
      <alignment horizontal="center" vertical="center" wrapText="1"/>
    </xf>
    <xf numFmtId="0" fontId="0" fillId="63" borderId="36" xfId="0" applyFill="1" applyBorder="1" applyAlignment="1">
      <alignment horizontal="center" vertical="center" wrapText="1"/>
    </xf>
    <xf numFmtId="0" fontId="0" fillId="63" borderId="90" xfId="0" applyFill="1" applyBorder="1" applyAlignment="1">
      <alignment horizontal="center" vertical="center" wrapText="1"/>
    </xf>
    <xf numFmtId="0" fontId="0" fillId="63" borderId="91" xfId="0" applyFill="1" applyBorder="1" applyAlignment="1">
      <alignment horizontal="center" vertical="center" wrapText="1"/>
    </xf>
    <xf numFmtId="0" fontId="0" fillId="63" borderId="10" xfId="0" applyFill="1" applyBorder="1" applyAlignment="1">
      <alignment horizontal="center" vertical="center" wrapText="1"/>
    </xf>
    <xf numFmtId="0" fontId="0" fillId="63" borderId="92" xfId="0" applyFill="1" applyBorder="1" applyAlignment="1">
      <alignment horizontal="center" vertical="center" wrapText="1"/>
    </xf>
    <xf numFmtId="0" fontId="116" fillId="0" borderId="0" xfId="0" applyFont="1" applyAlignment="1" applyProtection="1">
      <alignment wrapText="1"/>
    </xf>
    <xf numFmtId="0" fontId="111" fillId="0" borderId="0" xfId="0" applyFont="1" applyAlignment="1">
      <alignment wrapText="1"/>
    </xf>
    <xf numFmtId="0" fontId="0" fillId="63" borderId="62" xfId="0" applyFill="1" applyBorder="1" applyAlignment="1">
      <alignment horizontal="center" vertical="center" wrapText="1"/>
    </xf>
    <xf numFmtId="0" fontId="0" fillId="63" borderId="0" xfId="0" applyFill="1" applyBorder="1" applyAlignment="1">
      <alignment horizontal="center" vertical="center" wrapText="1"/>
    </xf>
    <xf numFmtId="0" fontId="0" fillId="63" borderId="32" xfId="0" applyFill="1" applyBorder="1" applyAlignment="1">
      <alignment horizontal="center" vertical="center" wrapText="1"/>
    </xf>
    <xf numFmtId="0" fontId="10" fillId="63" borderId="86" xfId="0" applyFont="1" applyFill="1" applyBorder="1" applyAlignment="1" applyProtection="1">
      <alignment horizontal="center" vertical="center" wrapText="1"/>
    </xf>
    <xf numFmtId="0" fontId="0" fillId="63" borderId="73" xfId="0" applyFill="1" applyBorder="1" applyAlignment="1">
      <alignment horizontal="center" vertical="center" wrapText="1"/>
    </xf>
    <xf numFmtId="0" fontId="0" fillId="63" borderId="87" xfId="0" applyFill="1" applyBorder="1" applyAlignment="1">
      <alignment horizontal="center" vertical="center" wrapText="1"/>
    </xf>
    <xf numFmtId="0" fontId="9" fillId="63" borderId="86" xfId="0" applyFont="1" applyFill="1" applyBorder="1" applyAlignment="1" applyProtection="1">
      <alignment horizontal="center" vertical="center" wrapText="1"/>
    </xf>
    <xf numFmtId="0" fontId="0" fillId="0" borderId="73" xfId="0" applyBorder="1" applyAlignment="1">
      <alignment horizontal="center" vertical="center" wrapText="1"/>
    </xf>
    <xf numFmtId="0" fontId="0" fillId="0" borderId="87" xfId="0" applyBorder="1" applyAlignment="1">
      <alignment horizontal="center" vertical="center" wrapText="1"/>
    </xf>
    <xf numFmtId="0" fontId="9" fillId="63" borderId="73" xfId="0" applyFont="1" applyFill="1" applyBorder="1" applyAlignment="1" applyProtection="1">
      <alignment horizontal="center" vertical="center" wrapText="1"/>
    </xf>
    <xf numFmtId="0" fontId="9" fillId="63" borderId="87" xfId="0" applyFont="1" applyFill="1" applyBorder="1" applyAlignment="1" applyProtection="1">
      <alignment horizontal="center" vertical="center" wrapText="1"/>
    </xf>
    <xf numFmtId="0" fontId="10" fillId="63" borderId="86" xfId="0" applyFont="1" applyFill="1" applyBorder="1" applyAlignment="1">
      <alignment horizontal="center" vertical="center" wrapText="1"/>
    </xf>
    <xf numFmtId="0" fontId="0" fillId="63" borderId="73" xfId="0" applyFill="1" applyBorder="1" applyAlignment="1">
      <alignment wrapText="1"/>
    </xf>
    <xf numFmtId="0" fontId="0" fillId="0" borderId="73" xfId="0" applyBorder="1" applyAlignment="1">
      <alignment wrapText="1"/>
    </xf>
    <xf numFmtId="0" fontId="0" fillId="0" borderId="87" xfId="0" applyBorder="1" applyAlignment="1">
      <alignment wrapText="1"/>
    </xf>
    <xf numFmtId="0" fontId="3" fillId="0" borderId="35" xfId="0" applyFont="1" applyBorder="1" applyAlignment="1">
      <alignment horizontal="left" wrapText="1"/>
    </xf>
    <xf numFmtId="0" fontId="3" fillId="0" borderId="93" xfId="0" applyFont="1" applyBorder="1" applyAlignment="1">
      <alignment horizontal="left" wrapText="1"/>
    </xf>
    <xf numFmtId="0" fontId="0" fillId="63" borderId="87" xfId="0" applyFill="1" applyBorder="1" applyAlignment="1">
      <alignment wrapText="1"/>
    </xf>
    <xf numFmtId="0" fontId="4" fillId="28" borderId="86" xfId="0" applyFont="1" applyFill="1" applyBorder="1" applyAlignment="1" applyProtection="1">
      <alignment horizontal="left"/>
    </xf>
    <xf numFmtId="0" fontId="0" fillId="0" borderId="73" xfId="0" applyBorder="1" applyAlignment="1" applyProtection="1">
      <alignment horizontal="left"/>
    </xf>
    <xf numFmtId="0" fontId="0" fillId="0" borderId="87" xfId="0" applyBorder="1" applyAlignment="1" applyProtection="1">
      <alignment horizontal="left"/>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9" fillId="0" borderId="0" xfId="0" applyFont="1" applyFill="1" applyBorder="1" applyAlignment="1" applyProtection="1">
      <alignment horizontal="center" vertical="center" wrapText="1"/>
    </xf>
    <xf numFmtId="0" fontId="3" fillId="0" borderId="65" xfId="0" applyFont="1" applyBorder="1" applyAlignment="1">
      <alignment horizontal="left" wrapText="1"/>
    </xf>
    <xf numFmtId="0" fontId="3" fillId="0" borderId="94"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15" fillId="28" borderId="0" xfId="0" applyFont="1" applyFill="1" applyBorder="1" applyAlignment="1" applyProtection="1">
      <alignment horizontal="left"/>
    </xf>
    <xf numFmtId="0" fontId="9" fillId="36" borderId="86" xfId="0" applyFont="1" applyFill="1" applyBorder="1" applyAlignment="1" applyProtection="1">
      <alignment horizontal="center" vertical="center" wrapText="1"/>
    </xf>
    <xf numFmtId="0" fontId="9" fillId="36" borderId="73" xfId="0" applyFont="1" applyFill="1" applyBorder="1" applyAlignment="1" applyProtection="1">
      <alignment horizontal="center" vertical="center" wrapText="1"/>
    </xf>
    <xf numFmtId="0" fontId="9" fillId="36" borderId="87" xfId="0" applyFont="1" applyFill="1" applyBorder="1" applyAlignment="1" applyProtection="1">
      <alignment horizontal="center" vertical="center" wrapText="1"/>
    </xf>
    <xf numFmtId="0" fontId="9" fillId="36" borderId="89" xfId="0"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90" xfId="0" applyBorder="1" applyAlignment="1">
      <alignment horizontal="center" vertical="center" wrapText="1"/>
    </xf>
    <xf numFmtId="0" fontId="43" fillId="0" borderId="0" xfId="0" applyFont="1" applyFill="1"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114" fillId="0" borderId="10" xfId="0" applyFont="1" applyBorder="1" applyAlignment="1" applyProtection="1">
      <alignment horizontal="left" wrapText="1"/>
    </xf>
    <xf numFmtId="0" fontId="0" fillId="36" borderId="36" xfId="0" applyFill="1" applyBorder="1" applyAlignment="1" applyProtection="1">
      <alignment horizontal="center" vertical="center"/>
    </xf>
    <xf numFmtId="0" fontId="0" fillId="0" borderId="90" xfId="0" applyBorder="1" applyAlignment="1">
      <alignment horizontal="center" vertical="center"/>
    </xf>
    <xf numFmtId="0" fontId="0" fillId="36" borderId="62" xfId="0" applyFill="1" applyBorder="1" applyAlignment="1" applyProtection="1">
      <alignment horizontal="center" vertical="center"/>
    </xf>
    <xf numFmtId="0" fontId="0" fillId="36" borderId="0" xfId="0" applyFill="1" applyBorder="1" applyAlignment="1" applyProtection="1">
      <alignment horizontal="center" vertical="center"/>
    </xf>
    <xf numFmtId="0" fontId="0" fillId="0" borderId="32"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2" xfId="0" applyBorder="1" applyAlignment="1">
      <alignment horizontal="center" vertical="center"/>
    </xf>
    <xf numFmtId="0" fontId="9" fillId="36" borderId="48" xfId="0" applyFont="1" applyFill="1" applyBorder="1" applyAlignment="1" applyProtection="1">
      <alignment horizontal="center" vertical="center" wrapText="1"/>
    </xf>
    <xf numFmtId="0" fontId="0" fillId="36" borderId="45" xfId="0" applyFill="1" applyBorder="1" applyAlignment="1" applyProtection="1">
      <alignment vertical="center" wrapText="1"/>
    </xf>
    <xf numFmtId="0" fontId="0" fillId="36" borderId="78" xfId="0" applyFill="1" applyBorder="1" applyAlignment="1" applyProtection="1">
      <alignment vertical="center" wrapText="1"/>
    </xf>
    <xf numFmtId="0" fontId="23" fillId="25" borderId="0" xfId="0" applyFont="1" applyFill="1" applyAlignment="1" applyProtection="1"/>
    <xf numFmtId="0" fontId="40" fillId="0" borderId="10" xfId="0" applyFont="1" applyBorder="1" applyAlignment="1" applyProtection="1">
      <alignment horizontal="right"/>
    </xf>
    <xf numFmtId="0" fontId="0" fillId="0" borderId="10" xfId="0" applyBorder="1" applyAlignment="1" applyProtection="1"/>
    <xf numFmtId="0" fontId="6" fillId="24" borderId="89" xfId="0" applyFont="1" applyFill="1" applyBorder="1" applyAlignment="1" applyProtection="1">
      <alignment horizontal="center" vertical="center" wrapText="1"/>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9" fillId="24" borderId="86" xfId="0" applyFont="1" applyFill="1" applyBorder="1" applyAlignment="1" applyProtection="1">
      <alignment horizontal="center" vertical="center" wrapText="1"/>
    </xf>
    <xf numFmtId="0" fontId="9" fillId="24" borderId="73" xfId="0" applyFont="1" applyFill="1" applyBorder="1" applyAlignment="1" applyProtection="1">
      <alignment horizontal="center" vertical="center" wrapText="1"/>
    </xf>
    <xf numFmtId="0" fontId="9" fillId="24" borderId="87" xfId="0" applyFont="1" applyFill="1" applyBorder="1" applyAlignment="1" applyProtection="1">
      <alignment horizontal="center" vertical="center" wrapText="1"/>
    </xf>
    <xf numFmtId="0" fontId="0" fillId="0" borderId="87" xfId="0" applyBorder="1" applyAlignment="1">
      <alignment horizontal="left"/>
    </xf>
    <xf numFmtId="0" fontId="3" fillId="0" borderId="89" xfId="0" applyFont="1" applyBorder="1" applyAlignment="1" applyProtection="1">
      <alignment horizontal="left" wrapText="1"/>
      <protection locked="0"/>
    </xf>
    <xf numFmtId="0" fontId="3" fillId="0" borderId="36" xfId="0" applyFont="1" applyBorder="1" applyAlignment="1" applyProtection="1">
      <alignment horizontal="left" wrapText="1"/>
      <protection locked="0"/>
    </xf>
    <xf numFmtId="0" fontId="0" fillId="0" borderId="90" xfId="0" applyBorder="1" applyAlignment="1"/>
    <xf numFmtId="0" fontId="3" fillId="0" borderId="62"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0" fillId="0" borderId="32" xfId="0" applyBorder="1" applyAlignment="1"/>
    <xf numFmtId="0" fontId="3" fillId="0" borderId="101" xfId="0" applyFont="1" applyBorder="1" applyAlignment="1" applyProtection="1">
      <alignment horizontal="left" wrapText="1"/>
      <protection locked="0"/>
    </xf>
    <xf numFmtId="0" fontId="3" fillId="0" borderId="102" xfId="0" applyFont="1" applyBorder="1" applyAlignment="1" applyProtection="1">
      <alignment horizontal="left" wrapText="1"/>
      <protection locked="0"/>
    </xf>
    <xf numFmtId="0" fontId="0" fillId="0" borderId="103" xfId="0" applyBorder="1" applyAlignment="1"/>
    <xf numFmtId="0" fontId="0" fillId="0" borderId="93" xfId="0" applyBorder="1" applyAlignment="1"/>
    <xf numFmtId="0" fontId="3" fillId="0" borderId="74" xfId="0" applyFont="1" applyBorder="1" applyAlignment="1" applyProtection="1">
      <alignment horizontal="left" wrapText="1"/>
      <protection locked="0"/>
    </xf>
    <xf numFmtId="0" fontId="3" fillId="0" borderId="71" xfId="0" applyFont="1" applyBorder="1" applyAlignment="1" applyProtection="1">
      <alignment horizontal="left" wrapText="1"/>
      <protection locked="0"/>
    </xf>
    <xf numFmtId="0" fontId="0" fillId="0" borderId="100" xfId="0" applyBorder="1" applyAlignment="1"/>
    <xf numFmtId="0" fontId="3" fillId="0" borderId="10" xfId="0" applyFont="1" applyBorder="1" applyAlignment="1" applyProtection="1">
      <alignment horizontal="left" wrapText="1"/>
      <protection locked="0"/>
    </xf>
    <xf numFmtId="0" fontId="0" fillId="0" borderId="92" xfId="0" applyBorder="1" applyAlignment="1"/>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93" xfId="0" applyFont="1" applyBorder="1" applyAlignment="1" applyProtection="1">
      <alignment wrapText="1"/>
      <protection locked="0"/>
    </xf>
    <xf numFmtId="0" fontId="23" fillId="0" borderId="35" xfId="0" applyFont="1" applyBorder="1" applyAlignment="1" applyProtection="1">
      <alignment wrapText="1"/>
      <protection locked="0"/>
    </xf>
    <xf numFmtId="0" fontId="23" fillId="0" borderId="93" xfId="0" applyFont="1" applyBorder="1" applyAlignment="1" applyProtection="1">
      <alignment wrapText="1"/>
      <protection locked="0"/>
    </xf>
    <xf numFmtId="0" fontId="5" fillId="25" borderId="0" xfId="0" applyFont="1" applyFill="1" applyAlignment="1"/>
    <xf numFmtId="0" fontId="23" fillId="25" borderId="0" xfId="0" applyFont="1" applyFill="1" applyAlignment="1"/>
    <xf numFmtId="0" fontId="4" fillId="28" borderId="86" xfId="0" applyFont="1" applyFill="1" applyBorder="1" applyAlignment="1">
      <alignment horizontal="left" wrapText="1"/>
    </xf>
    <xf numFmtId="0" fontId="4" fillId="28" borderId="73" xfId="0" applyFont="1" applyFill="1" applyBorder="1" applyAlignment="1">
      <alignment horizontal="left" wrapText="1"/>
    </xf>
    <xf numFmtId="0" fontId="4" fillId="28" borderId="87" xfId="0" applyFont="1" applyFill="1" applyBorder="1" applyAlignment="1">
      <alignment horizontal="left" wrapText="1"/>
    </xf>
    <xf numFmtId="0" fontId="4" fillId="28" borderId="86" xfId="0" applyFont="1" applyFill="1" applyBorder="1" applyAlignment="1" applyProtection="1">
      <alignment horizontal="left" wrapText="1"/>
      <protection locked="0"/>
    </xf>
    <xf numFmtId="0" fontId="4" fillId="28" borderId="73" xfId="0" applyFont="1" applyFill="1" applyBorder="1" applyAlignment="1" applyProtection="1">
      <alignment horizontal="left" wrapText="1"/>
      <protection locked="0"/>
    </xf>
    <xf numFmtId="0" fontId="4" fillId="28" borderId="87" xfId="0" applyFont="1" applyFill="1" applyBorder="1" applyAlignment="1" applyProtection="1">
      <alignment horizontal="left" wrapText="1"/>
      <protection locked="0"/>
    </xf>
    <xf numFmtId="0" fontId="9" fillId="0" borderId="86" xfId="0" applyFont="1" applyBorder="1" applyAlignment="1">
      <alignment horizontal="left" wrapText="1"/>
    </xf>
    <xf numFmtId="0" fontId="9" fillId="0" borderId="73" xfId="0" applyFont="1" applyBorder="1" applyAlignment="1">
      <alignment horizontal="left" wrapText="1"/>
    </xf>
    <xf numFmtId="0" fontId="9" fillId="0" borderId="87" xfId="0" applyFont="1" applyBorder="1" applyAlignment="1">
      <alignment horizontal="left" wrapText="1"/>
    </xf>
    <xf numFmtId="0" fontId="0" fillId="0" borderId="35" xfId="0" applyBorder="1" applyAlignment="1" applyProtection="1">
      <alignment wrapText="1"/>
      <protection locked="0"/>
    </xf>
    <xf numFmtId="0" fontId="0" fillId="0" borderId="93" xfId="0" applyBorder="1" applyAlignment="1" applyProtection="1">
      <alignment wrapText="1"/>
      <protection locked="0"/>
    </xf>
    <xf numFmtId="0" fontId="9" fillId="0" borderId="75" xfId="0" applyFont="1" applyBorder="1" applyAlignment="1" applyProtection="1">
      <alignment wrapText="1"/>
      <protection locked="0"/>
    </xf>
    <xf numFmtId="0" fontId="0" fillId="0" borderId="65" xfId="0" applyBorder="1" applyAlignment="1" applyProtection="1">
      <alignment wrapText="1"/>
      <protection locked="0"/>
    </xf>
    <xf numFmtId="0" fontId="0" fillId="0" borderId="94" xfId="0" applyBorder="1" applyAlignment="1" applyProtection="1">
      <alignment wrapText="1"/>
      <protection locked="0"/>
    </xf>
  </cellXfs>
  <cellStyles count="178">
    <cellStyle name="20% - Accent5" xfId="9" builtinId="46" customBuiltin="1"/>
    <cellStyle name="20% - Accent6" xfId="11" builtinId="50" customBuiltin="1"/>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10" xr:uid="{00000000-0005-0000-0000-000009000000}"/>
    <cellStyle name="20% - Énfasis6 2" xfId="12" xr:uid="{00000000-0005-0000-0000-00000B000000}"/>
    <cellStyle name="40% - Accent1" xfId="13" builtinId="31" customBuiltin="1"/>
    <cellStyle name="40% - Accent2" xfId="15" builtinId="35" customBuiltin="1"/>
    <cellStyle name="40% - Accent4" xfId="19" builtinId="43" customBuiltin="1"/>
    <cellStyle name="40% - Accent5" xfId="21" builtinId="47" customBuiltin="1"/>
    <cellStyle name="40% - Accent6" xfId="23" builtinId="51" customBuiltin="1"/>
    <cellStyle name="40% - Énfasis1 2" xfId="14" xr:uid="{00000000-0005-0000-0000-00000D000000}"/>
    <cellStyle name="40% - Énfasis2 2" xfId="16" xr:uid="{00000000-0005-0000-0000-00000F000000}"/>
    <cellStyle name="40% - Énfasis3 2" xfId="17" xr:uid="{00000000-0005-0000-0000-000010000000}"/>
    <cellStyle name="40% - Énfasis3 3" xfId="18" xr:uid="{00000000-0005-0000-0000-000011000000}"/>
    <cellStyle name="40% - Énfasis4 2" xfId="20" xr:uid="{00000000-0005-0000-0000-000013000000}"/>
    <cellStyle name="40% - Énfasis5 2" xfId="22" xr:uid="{00000000-0005-0000-0000-000015000000}"/>
    <cellStyle name="40% - Énfasis6 2" xfId="24" xr:uid="{00000000-0005-0000-0000-000017000000}"/>
    <cellStyle name="60% - Accent1" xfId="25" builtinId="32" customBuiltin="1"/>
    <cellStyle name="60% - Accent2" xfId="27" builtinId="36" customBuiltin="1"/>
    <cellStyle name="60% - Accent5" xfId="33" builtinId="48" customBuiltin="1"/>
    <cellStyle name="60% - Énfasis1 2" xfId="26" xr:uid="{00000000-0005-0000-0000-000019000000}"/>
    <cellStyle name="60% - Énfasis2 2"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4" xr:uid="{00000000-0005-0000-0000-000021000000}"/>
    <cellStyle name="60% - Énfasis6 2" xfId="35" xr:uid="{00000000-0005-0000-0000-000022000000}"/>
    <cellStyle name="60% - Énfasis6 3" xfId="36" xr:uid="{00000000-0005-0000-0000-000023000000}"/>
    <cellStyle name="Accent1" xfId="47" builtinId="29" customBuiltin="1"/>
    <cellStyle name="Accent2" xfId="49" builtinId="33" customBuiltin="1"/>
    <cellStyle name="Accent3" xfId="51" builtinId="37" customBuiltin="1"/>
    <cellStyle name="Accent4" xfId="53" builtinId="41" customBuiltin="1"/>
    <cellStyle name="Accent5" xfId="55" builtinId="45" customBuiltin="1"/>
    <cellStyle name="Accent6" xfId="57" builtinId="49" customBuiltin="1"/>
    <cellStyle name="Bad" xfId="65" builtinId="27" customBuiltin="1"/>
    <cellStyle name="Buena 2" xfId="38" xr:uid="{00000000-0005-0000-0000-000025000000}"/>
    <cellStyle name="Calculation" xfId="39" builtinId="22" customBuiltin="1"/>
    <cellStyle name="Cálculo 2" xfId="40" xr:uid="{00000000-0005-0000-0000-000027000000}"/>
    <cellStyle name="Celda de comprobación 2" xfId="42" xr:uid="{00000000-0005-0000-0000-000029000000}"/>
    <cellStyle name="Celda vinculada 2" xfId="44" xr:uid="{00000000-0005-0000-0000-00002B000000}"/>
    <cellStyle name="Check Cell" xfId="41" builtinId="23" customBuiltin="1"/>
    <cellStyle name="Encabezado 4 2" xfId="46" xr:uid="{00000000-0005-0000-0000-00002E000000}"/>
    <cellStyle name="Énfasis1 2" xfId="48" xr:uid="{00000000-0005-0000-0000-000030000000}"/>
    <cellStyle name="Énfasis2 2" xfId="50" xr:uid="{00000000-0005-0000-0000-000032000000}"/>
    <cellStyle name="Énfasis3 2" xfId="52" xr:uid="{00000000-0005-0000-0000-000034000000}"/>
    <cellStyle name="Énfasis4 2" xfId="54" xr:uid="{00000000-0005-0000-0000-000036000000}"/>
    <cellStyle name="Énfasis5 2" xfId="56" xr:uid="{00000000-0005-0000-0000-000038000000}"/>
    <cellStyle name="Énfasis6 2" xfId="58" xr:uid="{00000000-0005-0000-0000-00003A000000}"/>
    <cellStyle name="Entrada 2" xfId="60" xr:uid="{00000000-0005-0000-0000-00003C000000}"/>
    <cellStyle name="Explanatory Text" xfId="164" builtinId="53" customBuiltin="1"/>
    <cellStyle name="Good" xfId="37" builtinId="26" customBuiltin="1"/>
    <cellStyle name="Heading 1" xfId="166" builtinId="16" customBuiltin="1"/>
    <cellStyle name="Heading 2" xfId="168" builtinId="17" customBuiltin="1"/>
    <cellStyle name="Heading 3" xfId="170" builtinId="18" customBuiltin="1"/>
    <cellStyle name="Heading 4" xfId="45" builtinId="19" customBuiltin="1"/>
    <cellStyle name="Hipervínculo 2" xfId="61" xr:uid="{00000000-0005-0000-0000-00003D000000}"/>
    <cellStyle name="Hipervínculo 3" xfId="62" xr:uid="{00000000-0005-0000-0000-00003E000000}"/>
    <cellStyle name="Hipervínculo 4" xfId="63" xr:uid="{00000000-0005-0000-0000-00003F000000}"/>
    <cellStyle name="Hyperlink" xfId="64" xr:uid="{00000000-0005-0000-0000-000040000000}"/>
    <cellStyle name="Incorrecto 2" xfId="66" xr:uid="{00000000-0005-0000-0000-000042000000}"/>
    <cellStyle name="Input" xfId="59" builtinId="20" customBuiltin="1"/>
    <cellStyle name="Linked Cell" xfId="43" builtinId="24" customBuiltin="1"/>
    <cellStyle name="Millares [0] 2" xfId="67" xr:uid="{00000000-0005-0000-0000-000043000000}"/>
    <cellStyle name="Millares [0] 3" xfId="68" xr:uid="{00000000-0005-0000-0000-000044000000}"/>
    <cellStyle name="Millares 10" xfId="69" xr:uid="{00000000-0005-0000-0000-000045000000}"/>
    <cellStyle name="Millares 11" xfId="70" xr:uid="{00000000-0005-0000-0000-000046000000}"/>
    <cellStyle name="Millares 12" xfId="71" xr:uid="{00000000-0005-0000-0000-000047000000}"/>
    <cellStyle name="Millares 13" xfId="72" xr:uid="{00000000-0005-0000-0000-000048000000}"/>
    <cellStyle name="Millares 14" xfId="73" xr:uid="{00000000-0005-0000-0000-000049000000}"/>
    <cellStyle name="Millares 15" xfId="74" xr:uid="{00000000-0005-0000-0000-00004A000000}"/>
    <cellStyle name="Millares 16" xfId="75" xr:uid="{00000000-0005-0000-0000-00004B000000}"/>
    <cellStyle name="Millares 17" xfId="76" xr:uid="{00000000-0005-0000-0000-00004C000000}"/>
    <cellStyle name="Millares 18" xfId="77" xr:uid="{00000000-0005-0000-0000-00004D000000}"/>
    <cellStyle name="Millares 19" xfId="78" xr:uid="{00000000-0005-0000-0000-00004E000000}"/>
    <cellStyle name="Millares 2" xfId="79" xr:uid="{00000000-0005-0000-0000-00004F000000}"/>
    <cellStyle name="Millares 2 2" xfId="80" xr:uid="{00000000-0005-0000-0000-000050000000}"/>
    <cellStyle name="Millares 20" xfId="81" xr:uid="{00000000-0005-0000-0000-000051000000}"/>
    <cellStyle name="Millares 21" xfId="82" xr:uid="{00000000-0005-0000-0000-000052000000}"/>
    <cellStyle name="Millares 22" xfId="83" xr:uid="{00000000-0005-0000-0000-000053000000}"/>
    <cellStyle name="Millares 23" xfId="84" xr:uid="{00000000-0005-0000-0000-000054000000}"/>
    <cellStyle name="Millares 3" xfId="85" xr:uid="{00000000-0005-0000-0000-000055000000}"/>
    <cellStyle name="Millares 3 2" xfId="86" xr:uid="{00000000-0005-0000-0000-000056000000}"/>
    <cellStyle name="Millares 4" xfId="87" xr:uid="{00000000-0005-0000-0000-000057000000}"/>
    <cellStyle name="Millares 4 2" xfId="88" xr:uid="{00000000-0005-0000-0000-000058000000}"/>
    <cellStyle name="Millares 5" xfId="89" xr:uid="{00000000-0005-0000-0000-000059000000}"/>
    <cellStyle name="Millares 5 2" xfId="90" xr:uid="{00000000-0005-0000-0000-00005A000000}"/>
    <cellStyle name="Millares 6" xfId="91" xr:uid="{00000000-0005-0000-0000-00005B000000}"/>
    <cellStyle name="Millares 6 2" xfId="92" xr:uid="{00000000-0005-0000-0000-00005C000000}"/>
    <cellStyle name="Millares 7" xfId="93" xr:uid="{00000000-0005-0000-0000-00005D000000}"/>
    <cellStyle name="Millares 7 2" xfId="94" xr:uid="{00000000-0005-0000-0000-00005E000000}"/>
    <cellStyle name="Millares 8" xfId="95" xr:uid="{00000000-0005-0000-0000-00005F000000}"/>
    <cellStyle name="Millares 8 2" xfId="96" xr:uid="{00000000-0005-0000-0000-000060000000}"/>
    <cellStyle name="Millares 9" xfId="97" xr:uid="{00000000-0005-0000-0000-000061000000}"/>
    <cellStyle name="Neutral" xfId="98" builtinId="28" customBuiltin="1"/>
    <cellStyle name="Neutral 2" xfId="99" xr:uid="{00000000-0005-0000-0000-000063000000}"/>
    <cellStyle name="Normal" xfId="0" builtinId="0"/>
    <cellStyle name="Normal 2" xfId="100" xr:uid="{00000000-0005-0000-0000-000065000000}"/>
    <cellStyle name="Normal 2 2" xfId="101" xr:uid="{00000000-0005-0000-0000-000066000000}"/>
    <cellStyle name="Normal 2 3" xfId="102" xr:uid="{00000000-0005-0000-0000-000067000000}"/>
    <cellStyle name="Normal 2 4" xfId="103" xr:uid="{00000000-0005-0000-0000-000068000000}"/>
    <cellStyle name="Normal 2 5" xfId="104" xr:uid="{00000000-0005-0000-0000-000069000000}"/>
    <cellStyle name="Normal 2_Cuadros base 2000 (Compendio) 07 10 2010" xfId="105" xr:uid="{00000000-0005-0000-0000-00006A000000}"/>
    <cellStyle name="Normal 3" xfId="106" xr:uid="{00000000-0005-0000-0000-00006B000000}"/>
    <cellStyle name="Normal 3 10" xfId="107" xr:uid="{00000000-0005-0000-0000-00006C000000}"/>
    <cellStyle name="Normal 3 11" xfId="108" xr:uid="{00000000-0005-0000-0000-00006D000000}"/>
    <cellStyle name="Normal 3 12" xfId="109" xr:uid="{00000000-0005-0000-0000-00006E000000}"/>
    <cellStyle name="Normal 3 13" xfId="110" xr:uid="{00000000-0005-0000-0000-00006F000000}"/>
    <cellStyle name="Normal 3 14" xfId="111" xr:uid="{00000000-0005-0000-0000-000070000000}"/>
    <cellStyle name="Normal 3 15" xfId="112" xr:uid="{00000000-0005-0000-0000-000071000000}"/>
    <cellStyle name="Normal 3 16" xfId="113" xr:uid="{00000000-0005-0000-0000-000072000000}"/>
    <cellStyle name="Normal 3 17" xfId="114" xr:uid="{00000000-0005-0000-0000-000073000000}"/>
    <cellStyle name="Normal 3 18" xfId="115" xr:uid="{00000000-0005-0000-0000-000074000000}"/>
    <cellStyle name="Normal 3 19" xfId="116" xr:uid="{00000000-0005-0000-0000-000075000000}"/>
    <cellStyle name="Normal 3 2" xfId="117" xr:uid="{00000000-0005-0000-0000-000076000000}"/>
    <cellStyle name="Normal 3 2 2" xfId="118" xr:uid="{00000000-0005-0000-0000-000077000000}"/>
    <cellStyle name="Normal 3 2_Cuadros de publicación base 2005_16 10 2010" xfId="119" xr:uid="{00000000-0005-0000-0000-000078000000}"/>
    <cellStyle name="Normal 3 20" xfId="120" xr:uid="{00000000-0005-0000-0000-000079000000}"/>
    <cellStyle name="Normal 3 21" xfId="121" xr:uid="{00000000-0005-0000-0000-00007A000000}"/>
    <cellStyle name="Normal 3 22" xfId="122" xr:uid="{00000000-0005-0000-0000-00007B000000}"/>
    <cellStyle name="Normal 3 23" xfId="123" xr:uid="{00000000-0005-0000-0000-00007C000000}"/>
    <cellStyle name="Normal 3 24" xfId="124" xr:uid="{00000000-0005-0000-0000-00007D000000}"/>
    <cellStyle name="Normal 3 25" xfId="125" xr:uid="{00000000-0005-0000-0000-00007E000000}"/>
    <cellStyle name="Normal 3 26" xfId="126" xr:uid="{00000000-0005-0000-0000-00007F000000}"/>
    <cellStyle name="Normal 3 27" xfId="127" xr:uid="{00000000-0005-0000-0000-000080000000}"/>
    <cellStyle name="Normal 3 28" xfId="128" xr:uid="{00000000-0005-0000-0000-000081000000}"/>
    <cellStyle name="Normal 3 29" xfId="129" xr:uid="{00000000-0005-0000-0000-000082000000}"/>
    <cellStyle name="Normal 3 3" xfId="130" xr:uid="{00000000-0005-0000-0000-000083000000}"/>
    <cellStyle name="Normal 3 30" xfId="131" xr:uid="{00000000-0005-0000-0000-000084000000}"/>
    <cellStyle name="Normal 3 31" xfId="132" xr:uid="{00000000-0005-0000-0000-000085000000}"/>
    <cellStyle name="Normal 3 32" xfId="133" xr:uid="{00000000-0005-0000-0000-000086000000}"/>
    <cellStyle name="Normal 3 33" xfId="134" xr:uid="{00000000-0005-0000-0000-000087000000}"/>
    <cellStyle name="Normal 3 34" xfId="135" xr:uid="{00000000-0005-0000-0000-000088000000}"/>
    <cellStyle name="Normal 3 35" xfId="136" xr:uid="{00000000-0005-0000-0000-000089000000}"/>
    <cellStyle name="Normal 3 36" xfId="137" xr:uid="{00000000-0005-0000-0000-00008A000000}"/>
    <cellStyle name="Normal 3 37" xfId="138" xr:uid="{00000000-0005-0000-0000-00008B000000}"/>
    <cellStyle name="Normal 3 38" xfId="139" xr:uid="{00000000-0005-0000-0000-00008C000000}"/>
    <cellStyle name="Normal 3 39" xfId="140" xr:uid="{00000000-0005-0000-0000-00008D000000}"/>
    <cellStyle name="Normal 3 4" xfId="141" xr:uid="{00000000-0005-0000-0000-00008E000000}"/>
    <cellStyle name="Normal 3 5" xfId="142" xr:uid="{00000000-0005-0000-0000-00008F000000}"/>
    <cellStyle name="Normal 3 6" xfId="143" xr:uid="{00000000-0005-0000-0000-000090000000}"/>
    <cellStyle name="Normal 3 7" xfId="144" xr:uid="{00000000-0005-0000-0000-000091000000}"/>
    <cellStyle name="Normal 3 8" xfId="145" xr:uid="{00000000-0005-0000-0000-000092000000}"/>
    <cellStyle name="Normal 3 9" xfId="146" xr:uid="{00000000-0005-0000-0000-000093000000}"/>
    <cellStyle name="Normal 3_Cuadros base 2000 (Compendio) 07 10 2010" xfId="147" xr:uid="{00000000-0005-0000-0000-000094000000}"/>
    <cellStyle name="Normal 4" xfId="148" xr:uid="{00000000-0005-0000-0000-000095000000}"/>
    <cellStyle name="Normal 4 2" xfId="149" xr:uid="{00000000-0005-0000-0000-000096000000}"/>
    <cellStyle name="Normal 5" xfId="150" xr:uid="{00000000-0005-0000-0000-000097000000}"/>
    <cellStyle name="Normal 6" xfId="151" xr:uid="{00000000-0005-0000-0000-000098000000}"/>
    <cellStyle name="Normal_lu_land_tot_21" xfId="152" xr:uid="{00000000-0005-0000-0000-000099000000}"/>
    <cellStyle name="Normal_Sheet1" xfId="153" xr:uid="{00000000-0005-0000-0000-00009A000000}"/>
    <cellStyle name="Normal_Sheet1_1" xfId="154" xr:uid="{00000000-0005-0000-0000-00009B000000}"/>
    <cellStyle name="Notas 2" xfId="155" xr:uid="{00000000-0005-0000-0000-00009C000000}"/>
    <cellStyle name="Notas 3" xfId="156" xr:uid="{00000000-0005-0000-0000-00009D000000}"/>
    <cellStyle name="Notas 4" xfId="157" xr:uid="{00000000-0005-0000-0000-00009E000000}"/>
    <cellStyle name="Output" xfId="160" builtinId="21" customBuiltin="1"/>
    <cellStyle name="Porcentaje 2" xfId="158" xr:uid="{00000000-0005-0000-0000-00009F000000}"/>
    <cellStyle name="Porcentaje 3" xfId="159" xr:uid="{00000000-0005-0000-0000-0000A0000000}"/>
    <cellStyle name="Salida 2" xfId="161" xr:uid="{00000000-0005-0000-0000-0000A2000000}"/>
    <cellStyle name="Texto de advertencia 2" xfId="163" xr:uid="{00000000-0005-0000-0000-0000A4000000}"/>
    <cellStyle name="Texto explicativo 2" xfId="165" xr:uid="{00000000-0005-0000-0000-0000A6000000}"/>
    <cellStyle name="Título 1 2" xfId="167" xr:uid="{00000000-0005-0000-0000-0000A7000000}"/>
    <cellStyle name="Título 2 2" xfId="169" xr:uid="{00000000-0005-0000-0000-0000A9000000}"/>
    <cellStyle name="Título 3 2" xfId="171" xr:uid="{00000000-0005-0000-0000-0000AB000000}"/>
    <cellStyle name="Título 4" xfId="172" xr:uid="{00000000-0005-0000-0000-0000AC000000}"/>
    <cellStyle name="Título 5" xfId="173" xr:uid="{00000000-0005-0000-0000-0000AD000000}"/>
    <cellStyle name="Título 6" xfId="174" xr:uid="{00000000-0005-0000-0000-0000AE000000}"/>
    <cellStyle name="Título 7" xfId="175" xr:uid="{00000000-0005-0000-0000-0000AF000000}"/>
    <cellStyle name="Total" xfId="176" builtinId="25" customBuiltin="1"/>
    <cellStyle name="Total 2" xfId="177" xr:uid="{00000000-0005-0000-0000-0000B1000000}"/>
    <cellStyle name="Warning Text" xfId="162" builtinId="11" customBuiltin="1"/>
  </cellStyles>
  <dxfs count="25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838200</xdr:colOff>
      <xdr:row>5</xdr:row>
      <xdr:rowOff>0</xdr:rowOff>
    </xdr:to>
    <xdr:pic>
      <xdr:nvPicPr>
        <xdr:cNvPr id="1488" name="Picture 4">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314325</xdr:colOff>
      <xdr:row>0</xdr:row>
      <xdr:rowOff>57150</xdr:rowOff>
    </xdr:from>
    <xdr:to>
      <xdr:col>10</xdr:col>
      <xdr:colOff>295275</xdr:colOff>
      <xdr:row>5</xdr:row>
      <xdr:rowOff>152400</xdr:rowOff>
    </xdr:to>
    <xdr:pic>
      <xdr:nvPicPr>
        <xdr:cNvPr id="1489" name="Picture 1">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05550" y="57150"/>
          <a:ext cx="1047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19</xdr:row>
      <xdr:rowOff>295275</xdr:rowOff>
    </xdr:from>
    <xdr:to>
      <xdr:col>13</xdr:col>
      <xdr:colOff>257175</xdr:colOff>
      <xdr:row>19</xdr:row>
      <xdr:rowOff>295275</xdr:rowOff>
    </xdr:to>
    <xdr:sp macro="" textlink="">
      <xdr:nvSpPr>
        <xdr:cNvPr id="40438" name="Line 4">
          <a:extLst>
            <a:ext uri="{FF2B5EF4-FFF2-40B4-BE49-F238E27FC236}">
              <a16:creationId xmlns:a16="http://schemas.microsoft.com/office/drawing/2014/main" id="{00000000-0008-0000-0300-0000F69D0000}"/>
            </a:ext>
          </a:extLst>
        </xdr:cNvPr>
        <xdr:cNvSpPr>
          <a:spLocks noChangeShapeType="1"/>
        </xdr:cNvSpPr>
      </xdr:nvSpPr>
      <xdr:spPr bwMode="auto">
        <a:xfrm flipV="1">
          <a:off x="9515475" y="624840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xdr:colOff>
      <xdr:row>12</xdr:row>
      <xdr:rowOff>219075</xdr:rowOff>
    </xdr:from>
    <xdr:to>
      <xdr:col>6</xdr:col>
      <xdr:colOff>9525</xdr:colOff>
      <xdr:row>12</xdr:row>
      <xdr:rowOff>219075</xdr:rowOff>
    </xdr:to>
    <xdr:sp macro="" textlink="">
      <xdr:nvSpPr>
        <xdr:cNvPr id="40439" name="Line 7">
          <a:extLst>
            <a:ext uri="{FF2B5EF4-FFF2-40B4-BE49-F238E27FC236}">
              <a16:creationId xmlns:a16="http://schemas.microsoft.com/office/drawing/2014/main" id="{00000000-0008-0000-0300-0000F79D0000}"/>
            </a:ext>
          </a:extLst>
        </xdr:cNvPr>
        <xdr:cNvSpPr>
          <a:spLocks noChangeShapeType="1"/>
        </xdr:cNvSpPr>
      </xdr:nvSpPr>
      <xdr:spPr bwMode="auto">
        <a:xfrm flipV="1">
          <a:off x="1628775" y="3209925"/>
          <a:ext cx="1066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514350</xdr:colOff>
      <xdr:row>11</xdr:row>
      <xdr:rowOff>0</xdr:rowOff>
    </xdr:from>
    <xdr:to>
      <xdr:col>6</xdr:col>
      <xdr:colOff>514350</xdr:colOff>
      <xdr:row>12</xdr:row>
      <xdr:rowOff>0</xdr:rowOff>
    </xdr:to>
    <xdr:sp macro="" textlink="">
      <xdr:nvSpPr>
        <xdr:cNvPr id="40440" name="Line 8">
          <a:extLst>
            <a:ext uri="{FF2B5EF4-FFF2-40B4-BE49-F238E27FC236}">
              <a16:creationId xmlns:a16="http://schemas.microsoft.com/office/drawing/2014/main" id="{00000000-0008-0000-0300-0000F89D0000}"/>
            </a:ext>
          </a:extLst>
        </xdr:cNvPr>
        <xdr:cNvSpPr>
          <a:spLocks noChangeShapeType="1"/>
        </xdr:cNvSpPr>
      </xdr:nvSpPr>
      <xdr:spPr bwMode="auto">
        <a:xfrm>
          <a:off x="3200400" y="260985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209550</xdr:colOff>
      <xdr:row>19</xdr:row>
      <xdr:rowOff>276225</xdr:rowOff>
    </xdr:from>
    <xdr:to>
      <xdr:col>13</xdr:col>
      <xdr:colOff>219075</xdr:colOff>
      <xdr:row>25</xdr:row>
      <xdr:rowOff>247650</xdr:rowOff>
    </xdr:to>
    <xdr:sp macro="" textlink="">
      <xdr:nvSpPr>
        <xdr:cNvPr id="40441" name="Line 9">
          <a:extLst>
            <a:ext uri="{FF2B5EF4-FFF2-40B4-BE49-F238E27FC236}">
              <a16:creationId xmlns:a16="http://schemas.microsoft.com/office/drawing/2014/main" id="{00000000-0008-0000-0300-0000F99D0000}"/>
            </a:ext>
          </a:extLst>
        </xdr:cNvPr>
        <xdr:cNvSpPr>
          <a:spLocks noChangeShapeType="1"/>
        </xdr:cNvSpPr>
      </xdr:nvSpPr>
      <xdr:spPr bwMode="auto">
        <a:xfrm flipH="1">
          <a:off x="9848850" y="6229350"/>
          <a:ext cx="9525" cy="22002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16</xdr:row>
      <xdr:rowOff>190500</xdr:rowOff>
    </xdr:from>
    <xdr:to>
      <xdr:col>11</xdr:col>
      <xdr:colOff>561975</xdr:colOff>
      <xdr:row>16</xdr:row>
      <xdr:rowOff>190500</xdr:rowOff>
    </xdr:to>
    <xdr:sp macro="" textlink="">
      <xdr:nvSpPr>
        <xdr:cNvPr id="40442" name="Line 10">
          <a:extLst>
            <a:ext uri="{FF2B5EF4-FFF2-40B4-BE49-F238E27FC236}">
              <a16:creationId xmlns:a16="http://schemas.microsoft.com/office/drawing/2014/main" id="{00000000-0008-0000-0300-0000FA9D0000}"/>
            </a:ext>
          </a:extLst>
        </xdr:cNvPr>
        <xdr:cNvSpPr>
          <a:spLocks noChangeShapeType="1"/>
        </xdr:cNvSpPr>
      </xdr:nvSpPr>
      <xdr:spPr bwMode="auto">
        <a:xfrm flipH="1" flipV="1">
          <a:off x="942975" y="4371975"/>
          <a:ext cx="790575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12</xdr:row>
      <xdr:rowOff>200025</xdr:rowOff>
    </xdr:from>
    <xdr:to>
      <xdr:col>10</xdr:col>
      <xdr:colOff>314325</xdr:colOff>
      <xdr:row>12</xdr:row>
      <xdr:rowOff>219075</xdr:rowOff>
    </xdr:to>
    <xdr:sp macro="" textlink="">
      <xdr:nvSpPr>
        <xdr:cNvPr id="40443" name="Line 14">
          <a:extLst>
            <a:ext uri="{FF2B5EF4-FFF2-40B4-BE49-F238E27FC236}">
              <a16:creationId xmlns:a16="http://schemas.microsoft.com/office/drawing/2014/main" id="{00000000-0008-0000-0300-0000FB9D0000}"/>
            </a:ext>
          </a:extLst>
        </xdr:cNvPr>
        <xdr:cNvSpPr>
          <a:spLocks noChangeShapeType="1"/>
        </xdr:cNvSpPr>
      </xdr:nvSpPr>
      <xdr:spPr bwMode="auto">
        <a:xfrm flipV="1">
          <a:off x="3800475" y="3190875"/>
          <a:ext cx="3705225" cy="190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323850</xdr:rowOff>
    </xdr:from>
    <xdr:to>
      <xdr:col>20</xdr:col>
      <xdr:colOff>28575</xdr:colOff>
      <xdr:row>33</xdr:row>
      <xdr:rowOff>295275</xdr:rowOff>
    </xdr:to>
    <xdr:sp macro="" textlink="">
      <xdr:nvSpPr>
        <xdr:cNvPr id="40444" name="Line 35">
          <a:extLst>
            <a:ext uri="{FF2B5EF4-FFF2-40B4-BE49-F238E27FC236}">
              <a16:creationId xmlns:a16="http://schemas.microsoft.com/office/drawing/2014/main" id="{00000000-0008-0000-0300-0000FC9D0000}"/>
            </a:ext>
          </a:extLst>
        </xdr:cNvPr>
        <xdr:cNvSpPr>
          <a:spLocks noChangeShapeType="1"/>
        </xdr:cNvSpPr>
      </xdr:nvSpPr>
      <xdr:spPr bwMode="auto">
        <a:xfrm flipH="1" flipV="1">
          <a:off x="14706600" y="7115175"/>
          <a:ext cx="9525" cy="40862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276225</xdr:colOff>
      <xdr:row>29</xdr:row>
      <xdr:rowOff>152400</xdr:rowOff>
    </xdr:from>
    <xdr:to>
      <xdr:col>12</xdr:col>
      <xdr:colOff>123825</xdr:colOff>
      <xdr:row>29</xdr:row>
      <xdr:rowOff>152400</xdr:rowOff>
    </xdr:to>
    <xdr:sp macro="" textlink="">
      <xdr:nvSpPr>
        <xdr:cNvPr id="40445" name="Line 49">
          <a:extLst>
            <a:ext uri="{FF2B5EF4-FFF2-40B4-BE49-F238E27FC236}">
              <a16:creationId xmlns:a16="http://schemas.microsoft.com/office/drawing/2014/main" id="{00000000-0008-0000-0300-0000FD9D0000}"/>
            </a:ext>
          </a:extLst>
        </xdr:cNvPr>
        <xdr:cNvSpPr>
          <a:spLocks noChangeShapeType="1"/>
        </xdr:cNvSpPr>
      </xdr:nvSpPr>
      <xdr:spPr bwMode="auto">
        <a:xfrm flipV="1">
          <a:off x="9639300" y="95631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32</xdr:row>
      <xdr:rowOff>0</xdr:rowOff>
    </xdr:from>
    <xdr:to>
      <xdr:col>24</xdr:col>
      <xdr:colOff>0</xdr:colOff>
      <xdr:row>32</xdr:row>
      <xdr:rowOff>0</xdr:rowOff>
    </xdr:to>
    <xdr:sp macro="" textlink="">
      <xdr:nvSpPr>
        <xdr:cNvPr id="40446" name="Line 56">
          <a:extLst>
            <a:ext uri="{FF2B5EF4-FFF2-40B4-BE49-F238E27FC236}">
              <a16:creationId xmlns:a16="http://schemas.microsoft.com/office/drawing/2014/main" id="{00000000-0008-0000-0300-0000FE9D0000}"/>
            </a:ext>
          </a:extLst>
        </xdr:cNvPr>
        <xdr:cNvSpPr>
          <a:spLocks noChangeShapeType="1"/>
        </xdr:cNvSpPr>
      </xdr:nvSpPr>
      <xdr:spPr bwMode="auto">
        <a:xfrm flipV="1">
          <a:off x="16935450" y="107442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33</xdr:row>
      <xdr:rowOff>9525</xdr:rowOff>
    </xdr:from>
    <xdr:to>
      <xdr:col>24</xdr:col>
      <xdr:colOff>0</xdr:colOff>
      <xdr:row>33</xdr:row>
      <xdr:rowOff>9525</xdr:rowOff>
    </xdr:to>
    <xdr:sp macro="" textlink="">
      <xdr:nvSpPr>
        <xdr:cNvPr id="40447" name="Line 57">
          <a:extLst>
            <a:ext uri="{FF2B5EF4-FFF2-40B4-BE49-F238E27FC236}">
              <a16:creationId xmlns:a16="http://schemas.microsoft.com/office/drawing/2014/main" id="{00000000-0008-0000-0300-0000FF9D0000}"/>
            </a:ext>
          </a:extLst>
        </xdr:cNvPr>
        <xdr:cNvSpPr>
          <a:spLocks noChangeShapeType="1"/>
        </xdr:cNvSpPr>
      </xdr:nvSpPr>
      <xdr:spPr bwMode="auto">
        <a:xfrm>
          <a:off x="16935450" y="1091565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21</xdr:row>
      <xdr:rowOff>276225</xdr:rowOff>
    </xdr:from>
    <xdr:to>
      <xdr:col>13</xdr:col>
      <xdr:colOff>200025</xdr:colOff>
      <xdr:row>21</xdr:row>
      <xdr:rowOff>276225</xdr:rowOff>
    </xdr:to>
    <xdr:sp macro="" textlink="">
      <xdr:nvSpPr>
        <xdr:cNvPr id="40448" name="Line 73">
          <a:extLst>
            <a:ext uri="{FF2B5EF4-FFF2-40B4-BE49-F238E27FC236}">
              <a16:creationId xmlns:a16="http://schemas.microsoft.com/office/drawing/2014/main" id="{00000000-0008-0000-0300-0000009E0000}"/>
            </a:ext>
          </a:extLst>
        </xdr:cNvPr>
        <xdr:cNvSpPr>
          <a:spLocks noChangeShapeType="1"/>
        </xdr:cNvSpPr>
      </xdr:nvSpPr>
      <xdr:spPr bwMode="auto">
        <a:xfrm flipV="1">
          <a:off x="9525000" y="7067550"/>
          <a:ext cx="3143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485775</xdr:colOff>
      <xdr:row>8</xdr:row>
      <xdr:rowOff>9525</xdr:rowOff>
    </xdr:from>
    <xdr:to>
      <xdr:col>6</xdr:col>
      <xdr:colOff>485775</xdr:colOff>
      <xdr:row>10</xdr:row>
      <xdr:rowOff>28575</xdr:rowOff>
    </xdr:to>
    <xdr:sp macro="" textlink="">
      <xdr:nvSpPr>
        <xdr:cNvPr id="40449" name="Line 202">
          <a:extLst>
            <a:ext uri="{FF2B5EF4-FFF2-40B4-BE49-F238E27FC236}">
              <a16:creationId xmlns:a16="http://schemas.microsoft.com/office/drawing/2014/main" id="{00000000-0008-0000-0300-0000019E0000}"/>
            </a:ext>
          </a:extLst>
        </xdr:cNvPr>
        <xdr:cNvSpPr>
          <a:spLocks noChangeShapeType="1"/>
        </xdr:cNvSpPr>
      </xdr:nvSpPr>
      <xdr:spPr bwMode="auto">
        <a:xfrm>
          <a:off x="3171825" y="2038350"/>
          <a:ext cx="0" cy="2571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457200</xdr:colOff>
      <xdr:row>8</xdr:row>
      <xdr:rowOff>9525</xdr:rowOff>
    </xdr:from>
    <xdr:to>
      <xdr:col>7</xdr:col>
      <xdr:colOff>466725</xdr:colOff>
      <xdr:row>10</xdr:row>
      <xdr:rowOff>0</xdr:rowOff>
    </xdr:to>
    <xdr:sp macro="" textlink="">
      <xdr:nvSpPr>
        <xdr:cNvPr id="40450" name="Line 203">
          <a:extLst>
            <a:ext uri="{FF2B5EF4-FFF2-40B4-BE49-F238E27FC236}">
              <a16:creationId xmlns:a16="http://schemas.microsoft.com/office/drawing/2014/main" id="{00000000-0008-0000-0300-0000029E0000}"/>
            </a:ext>
          </a:extLst>
        </xdr:cNvPr>
        <xdr:cNvSpPr>
          <a:spLocks noChangeShapeType="1"/>
        </xdr:cNvSpPr>
      </xdr:nvSpPr>
      <xdr:spPr bwMode="auto">
        <a:xfrm flipV="1">
          <a:off x="4248150" y="2038350"/>
          <a:ext cx="9525" cy="2286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219075</xdr:colOff>
      <xdr:row>23</xdr:row>
      <xdr:rowOff>209550</xdr:rowOff>
    </xdr:from>
    <xdr:to>
      <xdr:col>14</xdr:col>
      <xdr:colOff>142875</xdr:colOff>
      <xdr:row>23</xdr:row>
      <xdr:rowOff>209550</xdr:rowOff>
    </xdr:to>
    <xdr:sp macro="" textlink="">
      <xdr:nvSpPr>
        <xdr:cNvPr id="40451" name="Line 204">
          <a:extLst>
            <a:ext uri="{FF2B5EF4-FFF2-40B4-BE49-F238E27FC236}">
              <a16:creationId xmlns:a16="http://schemas.microsoft.com/office/drawing/2014/main" id="{00000000-0008-0000-0300-0000039E0000}"/>
            </a:ext>
          </a:extLst>
        </xdr:cNvPr>
        <xdr:cNvSpPr>
          <a:spLocks noChangeShapeType="1"/>
        </xdr:cNvSpPr>
      </xdr:nvSpPr>
      <xdr:spPr bwMode="auto">
        <a:xfrm flipV="1">
          <a:off x="9858375" y="7696200"/>
          <a:ext cx="400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13</xdr:row>
      <xdr:rowOff>19050</xdr:rowOff>
    </xdr:from>
    <xdr:to>
      <xdr:col>6</xdr:col>
      <xdr:colOff>523875</xdr:colOff>
      <xdr:row>15</xdr:row>
      <xdr:rowOff>47625</xdr:rowOff>
    </xdr:to>
    <xdr:sp macro="" textlink="">
      <xdr:nvSpPr>
        <xdr:cNvPr id="40452" name="Line 205">
          <a:extLst>
            <a:ext uri="{FF2B5EF4-FFF2-40B4-BE49-F238E27FC236}">
              <a16:creationId xmlns:a16="http://schemas.microsoft.com/office/drawing/2014/main" id="{00000000-0008-0000-0300-0000049E0000}"/>
            </a:ext>
          </a:extLst>
        </xdr:cNvPr>
        <xdr:cNvSpPr>
          <a:spLocks noChangeShapeType="1"/>
        </xdr:cNvSpPr>
      </xdr:nvSpPr>
      <xdr:spPr bwMode="auto">
        <a:xfrm>
          <a:off x="3209925" y="3600450"/>
          <a:ext cx="0" cy="4667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180975</xdr:rowOff>
    </xdr:from>
    <xdr:to>
      <xdr:col>4</xdr:col>
      <xdr:colOff>419100</xdr:colOff>
      <xdr:row>17</xdr:row>
      <xdr:rowOff>28575</xdr:rowOff>
    </xdr:to>
    <xdr:sp macro="" textlink="">
      <xdr:nvSpPr>
        <xdr:cNvPr id="40453" name="Line 206">
          <a:extLst>
            <a:ext uri="{FF2B5EF4-FFF2-40B4-BE49-F238E27FC236}">
              <a16:creationId xmlns:a16="http://schemas.microsoft.com/office/drawing/2014/main" id="{00000000-0008-0000-0300-0000059E0000}"/>
            </a:ext>
          </a:extLst>
        </xdr:cNvPr>
        <xdr:cNvSpPr>
          <a:spLocks noChangeShapeType="1"/>
        </xdr:cNvSpPr>
      </xdr:nvSpPr>
      <xdr:spPr bwMode="auto">
        <a:xfrm>
          <a:off x="952500" y="4362450"/>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333375</xdr:colOff>
      <xdr:row>16</xdr:row>
      <xdr:rowOff>200025</xdr:rowOff>
    </xdr:from>
    <xdr:to>
      <xdr:col>5</xdr:col>
      <xdr:colOff>333375</xdr:colOff>
      <xdr:row>17</xdr:row>
      <xdr:rowOff>47625</xdr:rowOff>
    </xdr:to>
    <xdr:sp macro="" textlink="">
      <xdr:nvSpPr>
        <xdr:cNvPr id="40454" name="Line 207">
          <a:extLst>
            <a:ext uri="{FF2B5EF4-FFF2-40B4-BE49-F238E27FC236}">
              <a16:creationId xmlns:a16="http://schemas.microsoft.com/office/drawing/2014/main" id="{00000000-0008-0000-0300-0000069E0000}"/>
            </a:ext>
          </a:extLst>
        </xdr:cNvPr>
        <xdr:cNvSpPr>
          <a:spLocks noChangeShapeType="1"/>
        </xdr:cNvSpPr>
      </xdr:nvSpPr>
      <xdr:spPr bwMode="auto">
        <a:xfrm>
          <a:off x="1933575" y="4381500"/>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409575</xdr:colOff>
      <xdr:row>16</xdr:row>
      <xdr:rowOff>200025</xdr:rowOff>
    </xdr:from>
    <xdr:to>
      <xdr:col>6</xdr:col>
      <xdr:colOff>409575</xdr:colOff>
      <xdr:row>17</xdr:row>
      <xdr:rowOff>76200</xdr:rowOff>
    </xdr:to>
    <xdr:sp macro="" textlink="">
      <xdr:nvSpPr>
        <xdr:cNvPr id="40455" name="Line 208">
          <a:extLst>
            <a:ext uri="{FF2B5EF4-FFF2-40B4-BE49-F238E27FC236}">
              <a16:creationId xmlns:a16="http://schemas.microsoft.com/office/drawing/2014/main" id="{00000000-0008-0000-0300-0000079E0000}"/>
            </a:ext>
          </a:extLst>
        </xdr:cNvPr>
        <xdr:cNvSpPr>
          <a:spLocks noChangeShapeType="1"/>
        </xdr:cNvSpPr>
      </xdr:nvSpPr>
      <xdr:spPr bwMode="auto">
        <a:xfrm>
          <a:off x="3095625" y="438150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523875</xdr:colOff>
      <xdr:row>16</xdr:row>
      <xdr:rowOff>200025</xdr:rowOff>
    </xdr:from>
    <xdr:to>
      <xdr:col>7</xdr:col>
      <xdr:colOff>523875</xdr:colOff>
      <xdr:row>17</xdr:row>
      <xdr:rowOff>38100</xdr:rowOff>
    </xdr:to>
    <xdr:sp macro="" textlink="">
      <xdr:nvSpPr>
        <xdr:cNvPr id="40456" name="Line 209">
          <a:extLst>
            <a:ext uri="{FF2B5EF4-FFF2-40B4-BE49-F238E27FC236}">
              <a16:creationId xmlns:a16="http://schemas.microsoft.com/office/drawing/2014/main" id="{00000000-0008-0000-0300-0000089E0000}"/>
            </a:ext>
          </a:extLst>
        </xdr:cNvPr>
        <xdr:cNvSpPr>
          <a:spLocks noChangeShapeType="1"/>
        </xdr:cNvSpPr>
      </xdr:nvSpPr>
      <xdr:spPr bwMode="auto">
        <a:xfrm flipH="1">
          <a:off x="4314825" y="438150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514350</xdr:colOff>
      <xdr:row>16</xdr:row>
      <xdr:rowOff>209550</xdr:rowOff>
    </xdr:from>
    <xdr:to>
      <xdr:col>10</xdr:col>
      <xdr:colOff>514350</xdr:colOff>
      <xdr:row>17</xdr:row>
      <xdr:rowOff>47625</xdr:rowOff>
    </xdr:to>
    <xdr:sp macro="" textlink="">
      <xdr:nvSpPr>
        <xdr:cNvPr id="40457" name="Line 210">
          <a:extLst>
            <a:ext uri="{FF2B5EF4-FFF2-40B4-BE49-F238E27FC236}">
              <a16:creationId xmlns:a16="http://schemas.microsoft.com/office/drawing/2014/main" id="{00000000-0008-0000-0300-0000099E0000}"/>
            </a:ext>
          </a:extLst>
        </xdr:cNvPr>
        <xdr:cNvSpPr>
          <a:spLocks noChangeShapeType="1"/>
        </xdr:cNvSpPr>
      </xdr:nvSpPr>
      <xdr:spPr bwMode="auto">
        <a:xfrm>
          <a:off x="7705725" y="4391025"/>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561975</xdr:colOff>
      <xdr:row>16</xdr:row>
      <xdr:rowOff>190500</xdr:rowOff>
    </xdr:from>
    <xdr:to>
      <xdr:col>11</xdr:col>
      <xdr:colOff>561975</xdr:colOff>
      <xdr:row>17</xdr:row>
      <xdr:rowOff>38100</xdr:rowOff>
    </xdr:to>
    <xdr:sp macro="" textlink="">
      <xdr:nvSpPr>
        <xdr:cNvPr id="40458" name="Line 211">
          <a:extLst>
            <a:ext uri="{FF2B5EF4-FFF2-40B4-BE49-F238E27FC236}">
              <a16:creationId xmlns:a16="http://schemas.microsoft.com/office/drawing/2014/main" id="{00000000-0008-0000-0300-00000A9E0000}"/>
            </a:ext>
          </a:extLst>
        </xdr:cNvPr>
        <xdr:cNvSpPr>
          <a:spLocks noChangeShapeType="1"/>
        </xdr:cNvSpPr>
      </xdr:nvSpPr>
      <xdr:spPr bwMode="auto">
        <a:xfrm>
          <a:off x="8848725" y="4371975"/>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438150</xdr:colOff>
      <xdr:row>17</xdr:row>
      <xdr:rowOff>1038225</xdr:rowOff>
    </xdr:from>
    <xdr:to>
      <xdr:col>4</xdr:col>
      <xdr:colOff>438150</xdr:colOff>
      <xdr:row>19</xdr:row>
      <xdr:rowOff>0</xdr:rowOff>
    </xdr:to>
    <xdr:sp macro="" textlink="">
      <xdr:nvSpPr>
        <xdr:cNvPr id="40459" name="Line 212">
          <a:extLst>
            <a:ext uri="{FF2B5EF4-FFF2-40B4-BE49-F238E27FC236}">
              <a16:creationId xmlns:a16="http://schemas.microsoft.com/office/drawing/2014/main" id="{00000000-0008-0000-0300-00000B9E0000}"/>
            </a:ext>
          </a:extLst>
        </xdr:cNvPr>
        <xdr:cNvSpPr>
          <a:spLocks noChangeShapeType="1"/>
        </xdr:cNvSpPr>
      </xdr:nvSpPr>
      <xdr:spPr bwMode="auto">
        <a:xfrm>
          <a:off x="971550" y="5724525"/>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361950</xdr:colOff>
      <xdr:row>17</xdr:row>
      <xdr:rowOff>1038225</xdr:rowOff>
    </xdr:from>
    <xdr:to>
      <xdr:col>5</xdr:col>
      <xdr:colOff>361950</xdr:colOff>
      <xdr:row>19</xdr:row>
      <xdr:rowOff>0</xdr:rowOff>
    </xdr:to>
    <xdr:sp macro="" textlink="">
      <xdr:nvSpPr>
        <xdr:cNvPr id="40460" name="Line 213">
          <a:extLst>
            <a:ext uri="{FF2B5EF4-FFF2-40B4-BE49-F238E27FC236}">
              <a16:creationId xmlns:a16="http://schemas.microsoft.com/office/drawing/2014/main" id="{00000000-0008-0000-0300-00000C9E0000}"/>
            </a:ext>
          </a:extLst>
        </xdr:cNvPr>
        <xdr:cNvSpPr>
          <a:spLocks noChangeShapeType="1"/>
        </xdr:cNvSpPr>
      </xdr:nvSpPr>
      <xdr:spPr bwMode="auto">
        <a:xfrm>
          <a:off x="1962150" y="5724525"/>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428625</xdr:colOff>
      <xdr:row>17</xdr:row>
      <xdr:rowOff>1057275</xdr:rowOff>
    </xdr:from>
    <xdr:to>
      <xdr:col>6</xdr:col>
      <xdr:colOff>428625</xdr:colOff>
      <xdr:row>19</xdr:row>
      <xdr:rowOff>9525</xdr:rowOff>
    </xdr:to>
    <xdr:sp macro="" textlink="">
      <xdr:nvSpPr>
        <xdr:cNvPr id="40461" name="Line 214">
          <a:extLst>
            <a:ext uri="{FF2B5EF4-FFF2-40B4-BE49-F238E27FC236}">
              <a16:creationId xmlns:a16="http://schemas.microsoft.com/office/drawing/2014/main" id="{00000000-0008-0000-0300-00000D9E0000}"/>
            </a:ext>
          </a:extLst>
        </xdr:cNvPr>
        <xdr:cNvSpPr>
          <a:spLocks noChangeShapeType="1"/>
        </xdr:cNvSpPr>
      </xdr:nvSpPr>
      <xdr:spPr bwMode="auto">
        <a:xfrm>
          <a:off x="3114675"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17</xdr:row>
      <xdr:rowOff>1057275</xdr:rowOff>
    </xdr:from>
    <xdr:to>
      <xdr:col>7</xdr:col>
      <xdr:colOff>552450</xdr:colOff>
      <xdr:row>19</xdr:row>
      <xdr:rowOff>9525</xdr:rowOff>
    </xdr:to>
    <xdr:sp macro="" textlink="">
      <xdr:nvSpPr>
        <xdr:cNvPr id="40462" name="Line 215">
          <a:extLst>
            <a:ext uri="{FF2B5EF4-FFF2-40B4-BE49-F238E27FC236}">
              <a16:creationId xmlns:a16="http://schemas.microsoft.com/office/drawing/2014/main" id="{00000000-0008-0000-0300-00000E9E0000}"/>
            </a:ext>
          </a:extLst>
        </xdr:cNvPr>
        <xdr:cNvSpPr>
          <a:spLocks noChangeShapeType="1"/>
        </xdr:cNvSpPr>
      </xdr:nvSpPr>
      <xdr:spPr bwMode="auto">
        <a:xfrm>
          <a:off x="4343400"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542925</xdr:colOff>
      <xdr:row>17</xdr:row>
      <xdr:rowOff>1057275</xdr:rowOff>
    </xdr:from>
    <xdr:to>
      <xdr:col>10</xdr:col>
      <xdr:colOff>542925</xdr:colOff>
      <xdr:row>19</xdr:row>
      <xdr:rowOff>9525</xdr:rowOff>
    </xdr:to>
    <xdr:sp macro="" textlink="">
      <xdr:nvSpPr>
        <xdr:cNvPr id="40463" name="Line 216">
          <a:extLst>
            <a:ext uri="{FF2B5EF4-FFF2-40B4-BE49-F238E27FC236}">
              <a16:creationId xmlns:a16="http://schemas.microsoft.com/office/drawing/2014/main" id="{00000000-0008-0000-0300-00000F9E0000}"/>
            </a:ext>
          </a:extLst>
        </xdr:cNvPr>
        <xdr:cNvSpPr>
          <a:spLocks noChangeShapeType="1"/>
        </xdr:cNvSpPr>
      </xdr:nvSpPr>
      <xdr:spPr bwMode="auto">
        <a:xfrm flipH="1">
          <a:off x="7734300"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600075</xdr:colOff>
      <xdr:row>17</xdr:row>
      <xdr:rowOff>1057275</xdr:rowOff>
    </xdr:from>
    <xdr:to>
      <xdr:col>11</xdr:col>
      <xdr:colOff>600075</xdr:colOff>
      <xdr:row>19</xdr:row>
      <xdr:rowOff>9525</xdr:rowOff>
    </xdr:to>
    <xdr:sp macro="" textlink="">
      <xdr:nvSpPr>
        <xdr:cNvPr id="40464" name="Line 217">
          <a:extLst>
            <a:ext uri="{FF2B5EF4-FFF2-40B4-BE49-F238E27FC236}">
              <a16:creationId xmlns:a16="http://schemas.microsoft.com/office/drawing/2014/main" id="{00000000-0008-0000-0300-0000109E0000}"/>
            </a:ext>
          </a:extLst>
        </xdr:cNvPr>
        <xdr:cNvSpPr>
          <a:spLocks noChangeShapeType="1"/>
        </xdr:cNvSpPr>
      </xdr:nvSpPr>
      <xdr:spPr bwMode="auto">
        <a:xfrm>
          <a:off x="8886825"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23</xdr:row>
      <xdr:rowOff>304800</xdr:rowOff>
    </xdr:from>
    <xdr:to>
      <xdr:col>13</xdr:col>
      <xdr:colOff>200025</xdr:colOff>
      <xdr:row>23</xdr:row>
      <xdr:rowOff>304800</xdr:rowOff>
    </xdr:to>
    <xdr:sp macro="" textlink="">
      <xdr:nvSpPr>
        <xdr:cNvPr id="40465" name="Line 218">
          <a:extLst>
            <a:ext uri="{FF2B5EF4-FFF2-40B4-BE49-F238E27FC236}">
              <a16:creationId xmlns:a16="http://schemas.microsoft.com/office/drawing/2014/main" id="{00000000-0008-0000-0300-0000119E0000}"/>
            </a:ext>
          </a:extLst>
        </xdr:cNvPr>
        <xdr:cNvSpPr>
          <a:spLocks noChangeShapeType="1"/>
        </xdr:cNvSpPr>
      </xdr:nvSpPr>
      <xdr:spPr bwMode="auto">
        <a:xfrm>
          <a:off x="9515475" y="7791450"/>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1219200</xdr:colOff>
      <xdr:row>25</xdr:row>
      <xdr:rowOff>257175</xdr:rowOff>
    </xdr:from>
    <xdr:to>
      <xdr:col>13</xdr:col>
      <xdr:colOff>209550</xdr:colOff>
      <xdr:row>25</xdr:row>
      <xdr:rowOff>257175</xdr:rowOff>
    </xdr:to>
    <xdr:sp macro="" textlink="">
      <xdr:nvSpPr>
        <xdr:cNvPr id="40466" name="Line 219">
          <a:extLst>
            <a:ext uri="{FF2B5EF4-FFF2-40B4-BE49-F238E27FC236}">
              <a16:creationId xmlns:a16="http://schemas.microsoft.com/office/drawing/2014/main" id="{00000000-0008-0000-0300-0000129E0000}"/>
            </a:ext>
          </a:extLst>
        </xdr:cNvPr>
        <xdr:cNvSpPr>
          <a:spLocks noChangeShapeType="1"/>
        </xdr:cNvSpPr>
      </xdr:nvSpPr>
      <xdr:spPr bwMode="auto">
        <a:xfrm>
          <a:off x="9505950" y="843915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390525</xdr:colOff>
      <xdr:row>23</xdr:row>
      <xdr:rowOff>247650</xdr:rowOff>
    </xdr:from>
    <xdr:to>
      <xdr:col>16</xdr:col>
      <xdr:colOff>390525</xdr:colOff>
      <xdr:row>26</xdr:row>
      <xdr:rowOff>66675</xdr:rowOff>
    </xdr:to>
    <xdr:sp macro="" textlink="">
      <xdr:nvSpPr>
        <xdr:cNvPr id="40467" name="Line 223">
          <a:extLst>
            <a:ext uri="{FF2B5EF4-FFF2-40B4-BE49-F238E27FC236}">
              <a16:creationId xmlns:a16="http://schemas.microsoft.com/office/drawing/2014/main" id="{00000000-0008-0000-0300-0000139E0000}"/>
            </a:ext>
          </a:extLst>
        </xdr:cNvPr>
        <xdr:cNvSpPr>
          <a:spLocks noChangeShapeType="1"/>
        </xdr:cNvSpPr>
      </xdr:nvSpPr>
      <xdr:spPr bwMode="auto">
        <a:xfrm>
          <a:off x="12020550" y="7734300"/>
          <a:ext cx="0" cy="103822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23</xdr:row>
      <xdr:rowOff>209550</xdr:rowOff>
    </xdr:from>
    <xdr:to>
      <xdr:col>17</xdr:col>
      <xdr:colOff>0</xdr:colOff>
      <xdr:row>23</xdr:row>
      <xdr:rowOff>219075</xdr:rowOff>
    </xdr:to>
    <xdr:sp macro="" textlink="">
      <xdr:nvSpPr>
        <xdr:cNvPr id="40468" name="Line 224">
          <a:extLst>
            <a:ext uri="{FF2B5EF4-FFF2-40B4-BE49-F238E27FC236}">
              <a16:creationId xmlns:a16="http://schemas.microsoft.com/office/drawing/2014/main" id="{00000000-0008-0000-0300-0000149E0000}"/>
            </a:ext>
          </a:extLst>
        </xdr:cNvPr>
        <xdr:cNvSpPr>
          <a:spLocks noChangeShapeType="1"/>
        </xdr:cNvSpPr>
      </xdr:nvSpPr>
      <xdr:spPr bwMode="auto">
        <a:xfrm flipV="1">
          <a:off x="11658600" y="7696200"/>
          <a:ext cx="76200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23</xdr:row>
      <xdr:rowOff>190500</xdr:rowOff>
    </xdr:from>
    <xdr:to>
      <xdr:col>20</xdr:col>
      <xdr:colOff>38100</xdr:colOff>
      <xdr:row>23</xdr:row>
      <xdr:rowOff>190500</xdr:rowOff>
    </xdr:to>
    <xdr:sp macro="" textlink="">
      <xdr:nvSpPr>
        <xdr:cNvPr id="40469" name="Line 230">
          <a:extLst>
            <a:ext uri="{FF2B5EF4-FFF2-40B4-BE49-F238E27FC236}">
              <a16:creationId xmlns:a16="http://schemas.microsoft.com/office/drawing/2014/main" id="{00000000-0008-0000-0300-0000159E0000}"/>
            </a:ext>
          </a:extLst>
        </xdr:cNvPr>
        <xdr:cNvSpPr>
          <a:spLocks noChangeShapeType="1"/>
        </xdr:cNvSpPr>
      </xdr:nvSpPr>
      <xdr:spPr bwMode="auto">
        <a:xfrm flipV="1">
          <a:off x="13515975" y="7677150"/>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9525</xdr:colOff>
      <xdr:row>25</xdr:row>
      <xdr:rowOff>266700</xdr:rowOff>
    </xdr:from>
    <xdr:to>
      <xdr:col>21</xdr:col>
      <xdr:colOff>0</xdr:colOff>
      <xdr:row>25</xdr:row>
      <xdr:rowOff>266700</xdr:rowOff>
    </xdr:to>
    <xdr:sp macro="" textlink="">
      <xdr:nvSpPr>
        <xdr:cNvPr id="40470" name="Line 231">
          <a:extLst>
            <a:ext uri="{FF2B5EF4-FFF2-40B4-BE49-F238E27FC236}">
              <a16:creationId xmlns:a16="http://schemas.microsoft.com/office/drawing/2014/main" id="{00000000-0008-0000-0300-0000169E0000}"/>
            </a:ext>
          </a:extLst>
        </xdr:cNvPr>
        <xdr:cNvSpPr>
          <a:spLocks noChangeShapeType="1"/>
        </xdr:cNvSpPr>
      </xdr:nvSpPr>
      <xdr:spPr bwMode="auto">
        <a:xfrm>
          <a:off x="14697075" y="8448675"/>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29</xdr:row>
      <xdr:rowOff>285750</xdr:rowOff>
    </xdr:from>
    <xdr:to>
      <xdr:col>20</xdr:col>
      <xdr:colOff>323850</xdr:colOff>
      <xdr:row>29</xdr:row>
      <xdr:rowOff>285750</xdr:rowOff>
    </xdr:to>
    <xdr:sp macro="" textlink="">
      <xdr:nvSpPr>
        <xdr:cNvPr id="40471" name="Line 232">
          <a:extLst>
            <a:ext uri="{FF2B5EF4-FFF2-40B4-BE49-F238E27FC236}">
              <a16:creationId xmlns:a16="http://schemas.microsoft.com/office/drawing/2014/main" id="{00000000-0008-0000-0300-0000179E0000}"/>
            </a:ext>
          </a:extLst>
        </xdr:cNvPr>
        <xdr:cNvSpPr>
          <a:spLocks noChangeShapeType="1"/>
        </xdr:cNvSpPr>
      </xdr:nvSpPr>
      <xdr:spPr bwMode="auto">
        <a:xfrm>
          <a:off x="14706600" y="969645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33</xdr:row>
      <xdr:rowOff>276225</xdr:rowOff>
    </xdr:from>
    <xdr:to>
      <xdr:col>21</xdr:col>
      <xdr:colOff>0</xdr:colOff>
      <xdr:row>33</xdr:row>
      <xdr:rowOff>276225</xdr:rowOff>
    </xdr:to>
    <xdr:sp macro="" textlink="">
      <xdr:nvSpPr>
        <xdr:cNvPr id="40472" name="Line 233">
          <a:extLst>
            <a:ext uri="{FF2B5EF4-FFF2-40B4-BE49-F238E27FC236}">
              <a16:creationId xmlns:a16="http://schemas.microsoft.com/office/drawing/2014/main" id="{00000000-0008-0000-0300-0000189E0000}"/>
            </a:ext>
          </a:extLst>
        </xdr:cNvPr>
        <xdr:cNvSpPr>
          <a:spLocks noChangeShapeType="1"/>
        </xdr:cNvSpPr>
      </xdr:nvSpPr>
      <xdr:spPr bwMode="auto">
        <a:xfrm>
          <a:off x="14716125" y="1118235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16</xdr:row>
      <xdr:rowOff>0</xdr:rowOff>
    </xdr:from>
    <xdr:to>
      <xdr:col>7</xdr:col>
      <xdr:colOff>190500</xdr:colOff>
      <xdr:row>16</xdr:row>
      <xdr:rowOff>180975</xdr:rowOff>
    </xdr:to>
    <xdr:sp macro="" textlink="">
      <xdr:nvSpPr>
        <xdr:cNvPr id="40473" name="Line 247">
          <a:extLst>
            <a:ext uri="{FF2B5EF4-FFF2-40B4-BE49-F238E27FC236}">
              <a16:creationId xmlns:a16="http://schemas.microsoft.com/office/drawing/2014/main" id="{00000000-0008-0000-0300-0000199E0000}"/>
            </a:ext>
          </a:extLst>
        </xdr:cNvPr>
        <xdr:cNvSpPr>
          <a:spLocks noChangeShapeType="1"/>
        </xdr:cNvSpPr>
      </xdr:nvSpPr>
      <xdr:spPr bwMode="auto">
        <a:xfrm flipH="1" flipV="1">
          <a:off x="3981450" y="4181475"/>
          <a:ext cx="0" cy="180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23</xdr:row>
      <xdr:rowOff>304800</xdr:rowOff>
    </xdr:from>
    <xdr:to>
      <xdr:col>21</xdr:col>
      <xdr:colOff>9525</xdr:colOff>
      <xdr:row>23</xdr:row>
      <xdr:rowOff>314325</xdr:rowOff>
    </xdr:to>
    <xdr:sp macro="" textlink="">
      <xdr:nvSpPr>
        <xdr:cNvPr id="40474" name="Line 248">
          <a:extLst>
            <a:ext uri="{FF2B5EF4-FFF2-40B4-BE49-F238E27FC236}">
              <a16:creationId xmlns:a16="http://schemas.microsoft.com/office/drawing/2014/main" id="{00000000-0008-0000-0300-00001A9E0000}"/>
            </a:ext>
          </a:extLst>
        </xdr:cNvPr>
        <xdr:cNvSpPr>
          <a:spLocks noChangeShapeType="1"/>
        </xdr:cNvSpPr>
      </xdr:nvSpPr>
      <xdr:spPr bwMode="auto">
        <a:xfrm flipV="1">
          <a:off x="14706600" y="7791450"/>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295275</xdr:colOff>
      <xdr:row>11</xdr:row>
      <xdr:rowOff>152400</xdr:rowOff>
    </xdr:from>
    <xdr:to>
      <xdr:col>10</xdr:col>
      <xdr:colOff>1066800</xdr:colOff>
      <xdr:row>11</xdr:row>
      <xdr:rowOff>152400</xdr:rowOff>
    </xdr:to>
    <xdr:sp macro="" textlink="">
      <xdr:nvSpPr>
        <xdr:cNvPr id="40475" name="Line 14">
          <a:extLst>
            <a:ext uri="{FF2B5EF4-FFF2-40B4-BE49-F238E27FC236}">
              <a16:creationId xmlns:a16="http://schemas.microsoft.com/office/drawing/2014/main" id="{00000000-0008-0000-0300-00001B9E0000}"/>
            </a:ext>
          </a:extLst>
        </xdr:cNvPr>
        <xdr:cNvSpPr>
          <a:spLocks noChangeShapeType="1"/>
        </xdr:cNvSpPr>
      </xdr:nvSpPr>
      <xdr:spPr bwMode="auto">
        <a:xfrm flipV="1">
          <a:off x="7486650" y="2762250"/>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295275</xdr:colOff>
      <xdr:row>11</xdr:row>
      <xdr:rowOff>133350</xdr:rowOff>
    </xdr:from>
    <xdr:to>
      <xdr:col>10</xdr:col>
      <xdr:colOff>295275</xdr:colOff>
      <xdr:row>13</xdr:row>
      <xdr:rowOff>180975</xdr:rowOff>
    </xdr:to>
    <xdr:sp macro="" textlink="">
      <xdr:nvSpPr>
        <xdr:cNvPr id="40476" name="Line 14">
          <a:extLst>
            <a:ext uri="{FF2B5EF4-FFF2-40B4-BE49-F238E27FC236}">
              <a16:creationId xmlns:a16="http://schemas.microsoft.com/office/drawing/2014/main" id="{00000000-0008-0000-0300-00001C9E0000}"/>
            </a:ext>
          </a:extLst>
        </xdr:cNvPr>
        <xdr:cNvSpPr>
          <a:spLocks noChangeShapeType="1"/>
        </xdr:cNvSpPr>
      </xdr:nvSpPr>
      <xdr:spPr bwMode="auto">
        <a:xfrm flipV="1">
          <a:off x="7486650" y="2743200"/>
          <a:ext cx="0" cy="1019175"/>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314325</xdr:colOff>
      <xdr:row>13</xdr:row>
      <xdr:rowOff>161925</xdr:rowOff>
    </xdr:from>
    <xdr:to>
      <xdr:col>10</xdr:col>
      <xdr:colOff>1085850</xdr:colOff>
      <xdr:row>13</xdr:row>
      <xdr:rowOff>161925</xdr:rowOff>
    </xdr:to>
    <xdr:sp macro="" textlink="">
      <xdr:nvSpPr>
        <xdr:cNvPr id="40477" name="Line 14">
          <a:extLst>
            <a:ext uri="{FF2B5EF4-FFF2-40B4-BE49-F238E27FC236}">
              <a16:creationId xmlns:a16="http://schemas.microsoft.com/office/drawing/2014/main" id="{00000000-0008-0000-0300-00001D9E0000}"/>
            </a:ext>
          </a:extLst>
        </xdr:cNvPr>
        <xdr:cNvSpPr>
          <a:spLocks noChangeShapeType="1"/>
        </xdr:cNvSpPr>
      </xdr:nvSpPr>
      <xdr:spPr bwMode="auto">
        <a:xfrm flipV="1">
          <a:off x="7505700" y="3743325"/>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533400</xdr:colOff>
      <xdr:row>71</xdr:row>
      <xdr:rowOff>142875</xdr:rowOff>
    </xdr:from>
    <xdr:to>
      <xdr:col>42</xdr:col>
      <xdr:colOff>9525</xdr:colOff>
      <xdr:row>71</xdr:row>
      <xdr:rowOff>142875</xdr:rowOff>
    </xdr:to>
    <xdr:sp macro="" textlink="">
      <xdr:nvSpPr>
        <xdr:cNvPr id="40478" name="Line 231">
          <a:extLst>
            <a:ext uri="{FF2B5EF4-FFF2-40B4-BE49-F238E27FC236}">
              <a16:creationId xmlns:a16="http://schemas.microsoft.com/office/drawing/2014/main" id="{00000000-0008-0000-0300-00001E9E0000}"/>
            </a:ext>
          </a:extLst>
        </xdr:cNvPr>
        <xdr:cNvSpPr>
          <a:spLocks noChangeShapeType="1"/>
        </xdr:cNvSpPr>
      </xdr:nvSpPr>
      <xdr:spPr bwMode="auto">
        <a:xfrm flipV="1">
          <a:off x="26098500" y="17564100"/>
          <a:ext cx="276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333375</xdr:rowOff>
    </xdr:from>
    <xdr:to>
      <xdr:col>21</xdr:col>
      <xdr:colOff>9525</xdr:colOff>
      <xdr:row>21</xdr:row>
      <xdr:rowOff>342900</xdr:rowOff>
    </xdr:to>
    <xdr:sp macro="" textlink="">
      <xdr:nvSpPr>
        <xdr:cNvPr id="40479" name="Line 248">
          <a:extLst>
            <a:ext uri="{FF2B5EF4-FFF2-40B4-BE49-F238E27FC236}">
              <a16:creationId xmlns:a16="http://schemas.microsoft.com/office/drawing/2014/main" id="{00000000-0008-0000-0300-00001F9E0000}"/>
            </a:ext>
          </a:extLst>
        </xdr:cNvPr>
        <xdr:cNvSpPr>
          <a:spLocks noChangeShapeType="1"/>
        </xdr:cNvSpPr>
      </xdr:nvSpPr>
      <xdr:spPr bwMode="auto">
        <a:xfrm flipV="1">
          <a:off x="14706600" y="7124700"/>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38100</xdr:colOff>
      <xdr:row>31</xdr:row>
      <xdr:rowOff>257175</xdr:rowOff>
    </xdr:from>
    <xdr:to>
      <xdr:col>21</xdr:col>
      <xdr:colOff>9525</xdr:colOff>
      <xdr:row>31</xdr:row>
      <xdr:rowOff>257175</xdr:rowOff>
    </xdr:to>
    <xdr:sp macro="" textlink="">
      <xdr:nvSpPr>
        <xdr:cNvPr id="40480" name="Line 232">
          <a:extLst>
            <a:ext uri="{FF2B5EF4-FFF2-40B4-BE49-F238E27FC236}">
              <a16:creationId xmlns:a16="http://schemas.microsoft.com/office/drawing/2014/main" id="{00000000-0008-0000-0300-0000209E0000}"/>
            </a:ext>
          </a:extLst>
        </xdr:cNvPr>
        <xdr:cNvSpPr>
          <a:spLocks noChangeShapeType="1"/>
        </xdr:cNvSpPr>
      </xdr:nvSpPr>
      <xdr:spPr bwMode="auto">
        <a:xfrm>
          <a:off x="14725650" y="104394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561975</xdr:colOff>
      <xdr:row>16</xdr:row>
      <xdr:rowOff>180975</xdr:rowOff>
    </xdr:from>
    <xdr:to>
      <xdr:col>8</xdr:col>
      <xdr:colOff>571500</xdr:colOff>
      <xdr:row>17</xdr:row>
      <xdr:rowOff>28575</xdr:rowOff>
    </xdr:to>
    <xdr:sp macro="" textlink="">
      <xdr:nvSpPr>
        <xdr:cNvPr id="40481" name="Line 209">
          <a:extLst>
            <a:ext uri="{FF2B5EF4-FFF2-40B4-BE49-F238E27FC236}">
              <a16:creationId xmlns:a16="http://schemas.microsoft.com/office/drawing/2014/main" id="{00000000-0008-0000-0300-0000219E0000}"/>
            </a:ext>
          </a:extLst>
        </xdr:cNvPr>
        <xdr:cNvSpPr>
          <a:spLocks noChangeShapeType="1"/>
        </xdr:cNvSpPr>
      </xdr:nvSpPr>
      <xdr:spPr bwMode="auto">
        <a:xfrm flipH="1">
          <a:off x="5486400" y="4362450"/>
          <a:ext cx="9525"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571500</xdr:colOff>
      <xdr:row>16</xdr:row>
      <xdr:rowOff>180975</xdr:rowOff>
    </xdr:from>
    <xdr:to>
      <xdr:col>9</xdr:col>
      <xdr:colOff>581025</xdr:colOff>
      <xdr:row>17</xdr:row>
      <xdr:rowOff>28575</xdr:rowOff>
    </xdr:to>
    <xdr:sp macro="" textlink="">
      <xdr:nvSpPr>
        <xdr:cNvPr id="40482" name="Line 209">
          <a:extLst>
            <a:ext uri="{FF2B5EF4-FFF2-40B4-BE49-F238E27FC236}">
              <a16:creationId xmlns:a16="http://schemas.microsoft.com/office/drawing/2014/main" id="{00000000-0008-0000-0300-0000229E0000}"/>
            </a:ext>
          </a:extLst>
        </xdr:cNvPr>
        <xdr:cNvSpPr>
          <a:spLocks noChangeShapeType="1"/>
        </xdr:cNvSpPr>
      </xdr:nvSpPr>
      <xdr:spPr bwMode="auto">
        <a:xfrm flipH="1">
          <a:off x="6629400" y="4362450"/>
          <a:ext cx="9525"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552450</xdr:colOff>
      <xdr:row>17</xdr:row>
      <xdr:rowOff>1057275</xdr:rowOff>
    </xdr:from>
    <xdr:to>
      <xdr:col>8</xdr:col>
      <xdr:colOff>552450</xdr:colOff>
      <xdr:row>19</xdr:row>
      <xdr:rowOff>9525</xdr:rowOff>
    </xdr:to>
    <xdr:sp macro="" textlink="">
      <xdr:nvSpPr>
        <xdr:cNvPr id="40483" name="Line 215">
          <a:extLst>
            <a:ext uri="{FF2B5EF4-FFF2-40B4-BE49-F238E27FC236}">
              <a16:creationId xmlns:a16="http://schemas.microsoft.com/office/drawing/2014/main" id="{00000000-0008-0000-0300-0000239E0000}"/>
            </a:ext>
          </a:extLst>
        </xdr:cNvPr>
        <xdr:cNvSpPr>
          <a:spLocks noChangeShapeType="1"/>
        </xdr:cNvSpPr>
      </xdr:nvSpPr>
      <xdr:spPr bwMode="auto">
        <a:xfrm>
          <a:off x="5476875" y="57435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581025</xdr:colOff>
      <xdr:row>17</xdr:row>
      <xdr:rowOff>1066800</xdr:rowOff>
    </xdr:from>
    <xdr:to>
      <xdr:col>9</xdr:col>
      <xdr:colOff>581025</xdr:colOff>
      <xdr:row>19</xdr:row>
      <xdr:rowOff>19050</xdr:rowOff>
    </xdr:to>
    <xdr:sp macro="" textlink="">
      <xdr:nvSpPr>
        <xdr:cNvPr id="40484" name="Line 215">
          <a:extLst>
            <a:ext uri="{FF2B5EF4-FFF2-40B4-BE49-F238E27FC236}">
              <a16:creationId xmlns:a16="http://schemas.microsoft.com/office/drawing/2014/main" id="{00000000-0008-0000-0300-0000249E0000}"/>
            </a:ext>
          </a:extLst>
        </xdr:cNvPr>
        <xdr:cNvSpPr>
          <a:spLocks noChangeShapeType="1"/>
        </xdr:cNvSpPr>
      </xdr:nvSpPr>
      <xdr:spPr bwMode="auto">
        <a:xfrm>
          <a:off x="6638925" y="575310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28</xdr:row>
      <xdr:rowOff>19050</xdr:rowOff>
    </xdr:from>
    <xdr:to>
      <xdr:col>13</xdr:col>
      <xdr:colOff>104775</xdr:colOff>
      <xdr:row>29</xdr:row>
      <xdr:rowOff>19050</xdr:rowOff>
    </xdr:to>
    <xdr:sp macro="" textlink="">
      <xdr:nvSpPr>
        <xdr:cNvPr id="30608" name="Line 21">
          <a:extLst>
            <a:ext uri="{FF2B5EF4-FFF2-40B4-BE49-F238E27FC236}">
              <a16:creationId xmlns:a16="http://schemas.microsoft.com/office/drawing/2014/main" id="{00000000-0008-0000-0400-000090770000}"/>
            </a:ext>
          </a:extLst>
        </xdr:cNvPr>
        <xdr:cNvSpPr>
          <a:spLocks noChangeShapeType="1"/>
        </xdr:cNvSpPr>
      </xdr:nvSpPr>
      <xdr:spPr bwMode="auto">
        <a:xfrm flipH="1">
          <a:off x="5629275" y="6572250"/>
          <a:ext cx="0" cy="4286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104775</xdr:colOff>
      <xdr:row>25</xdr:row>
      <xdr:rowOff>342900</xdr:rowOff>
    </xdr:from>
    <xdr:to>
      <xdr:col>7</xdr:col>
      <xdr:colOff>104775</xdr:colOff>
      <xdr:row>26</xdr:row>
      <xdr:rowOff>276225</xdr:rowOff>
    </xdr:to>
    <xdr:sp macro="" textlink="">
      <xdr:nvSpPr>
        <xdr:cNvPr id="30609" name="Line 22">
          <a:extLst>
            <a:ext uri="{FF2B5EF4-FFF2-40B4-BE49-F238E27FC236}">
              <a16:creationId xmlns:a16="http://schemas.microsoft.com/office/drawing/2014/main" id="{00000000-0008-0000-0400-000091770000}"/>
            </a:ext>
          </a:extLst>
        </xdr:cNvPr>
        <xdr:cNvSpPr>
          <a:spLocks noChangeShapeType="1"/>
        </xdr:cNvSpPr>
      </xdr:nvSpPr>
      <xdr:spPr bwMode="auto">
        <a:xfrm>
          <a:off x="4105275" y="6076950"/>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26</xdr:row>
      <xdr:rowOff>0</xdr:rowOff>
    </xdr:from>
    <xdr:to>
      <xdr:col>13</xdr:col>
      <xdr:colOff>257175</xdr:colOff>
      <xdr:row>27</xdr:row>
      <xdr:rowOff>0</xdr:rowOff>
    </xdr:to>
    <xdr:sp macro="" textlink="">
      <xdr:nvSpPr>
        <xdr:cNvPr id="30610" name="Line 23">
          <a:extLst>
            <a:ext uri="{FF2B5EF4-FFF2-40B4-BE49-F238E27FC236}">
              <a16:creationId xmlns:a16="http://schemas.microsoft.com/office/drawing/2014/main" id="{00000000-0008-0000-0400-000092770000}"/>
            </a:ext>
          </a:extLst>
        </xdr:cNvPr>
        <xdr:cNvSpPr>
          <a:spLocks noChangeShapeType="1"/>
        </xdr:cNvSpPr>
      </xdr:nvSpPr>
      <xdr:spPr bwMode="auto">
        <a:xfrm flipH="1" flipV="1">
          <a:off x="5781675" y="6086475"/>
          <a:ext cx="0" cy="2857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29</xdr:row>
      <xdr:rowOff>285750</xdr:rowOff>
    </xdr:from>
    <xdr:to>
      <xdr:col>12</xdr:col>
      <xdr:colOff>9525</xdr:colOff>
      <xdr:row>29</xdr:row>
      <xdr:rowOff>285750</xdr:rowOff>
    </xdr:to>
    <xdr:sp macro="" textlink="">
      <xdr:nvSpPr>
        <xdr:cNvPr id="30611" name="Line 19">
          <a:extLst>
            <a:ext uri="{FF2B5EF4-FFF2-40B4-BE49-F238E27FC236}">
              <a16:creationId xmlns:a16="http://schemas.microsoft.com/office/drawing/2014/main" id="{00000000-0008-0000-0400-000093770000}"/>
            </a:ext>
          </a:extLst>
        </xdr:cNvPr>
        <xdr:cNvSpPr>
          <a:spLocks noChangeShapeType="1"/>
        </xdr:cNvSpPr>
      </xdr:nvSpPr>
      <xdr:spPr bwMode="auto">
        <a:xfrm flipV="1">
          <a:off x="4514850" y="7267575"/>
          <a:ext cx="914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28</xdr:row>
      <xdr:rowOff>152400</xdr:rowOff>
    </xdr:from>
    <xdr:to>
      <xdr:col>20</xdr:col>
      <xdr:colOff>104775</xdr:colOff>
      <xdr:row>30</xdr:row>
      <xdr:rowOff>314325</xdr:rowOff>
    </xdr:to>
    <xdr:grpSp>
      <xdr:nvGrpSpPr>
        <xdr:cNvPr id="30612" name="Group 1">
          <a:extLst>
            <a:ext uri="{FF2B5EF4-FFF2-40B4-BE49-F238E27FC236}">
              <a16:creationId xmlns:a16="http://schemas.microsoft.com/office/drawing/2014/main" id="{00000000-0008-0000-0400-000094770000}"/>
            </a:ext>
          </a:extLst>
        </xdr:cNvPr>
        <xdr:cNvGrpSpPr>
          <a:grpSpLocks/>
        </xdr:cNvGrpSpPr>
      </xdr:nvGrpSpPr>
      <xdr:grpSpPr bwMode="auto">
        <a:xfrm>
          <a:off x="6464113" y="6752665"/>
          <a:ext cx="1103780" cy="1047189"/>
          <a:chOff x="14744700" y="7764780"/>
          <a:chExt cx="1318260" cy="1043940"/>
        </a:xfrm>
      </xdr:grpSpPr>
      <xdr:sp macro="" textlink="">
        <xdr:nvSpPr>
          <xdr:cNvPr id="30613" name="Line 20">
            <a:extLst>
              <a:ext uri="{FF2B5EF4-FFF2-40B4-BE49-F238E27FC236}">
                <a16:creationId xmlns:a16="http://schemas.microsoft.com/office/drawing/2014/main" id="{00000000-0008-0000-0400-000095770000}"/>
              </a:ext>
            </a:extLst>
          </xdr:cNvPr>
          <xdr:cNvSpPr>
            <a:spLocks noChangeShapeType="1"/>
          </xdr:cNvSpPr>
        </xdr:nvSpPr>
        <xdr:spPr bwMode="auto">
          <a:xfrm flipV="1">
            <a:off x="14744700" y="82600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sp macro="" textlink="">
        <xdr:nvSpPr>
          <xdr:cNvPr id="30614" name="Line 18">
            <a:extLst>
              <a:ext uri="{FF2B5EF4-FFF2-40B4-BE49-F238E27FC236}">
                <a16:creationId xmlns:a16="http://schemas.microsoft.com/office/drawing/2014/main" id="{00000000-0008-0000-0400-000096770000}"/>
              </a:ext>
            </a:extLst>
          </xdr:cNvPr>
          <xdr:cNvSpPr>
            <a:spLocks noChangeShapeType="1"/>
          </xdr:cNvSpPr>
        </xdr:nvSpPr>
        <xdr:spPr bwMode="auto">
          <a:xfrm>
            <a:off x="15331440" y="7764780"/>
            <a:ext cx="0" cy="1043940"/>
          </a:xfrm>
          <a:prstGeom prst="line">
            <a:avLst/>
          </a:prstGeom>
          <a:noFill/>
          <a:ln w="285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0615" name="Line 20">
            <a:extLst>
              <a:ext uri="{FF2B5EF4-FFF2-40B4-BE49-F238E27FC236}">
                <a16:creationId xmlns:a16="http://schemas.microsoft.com/office/drawing/2014/main" id="{00000000-0008-0000-0400-000097770000}"/>
              </a:ext>
            </a:extLst>
          </xdr:cNvPr>
          <xdr:cNvSpPr>
            <a:spLocks noChangeShapeType="1"/>
          </xdr:cNvSpPr>
        </xdr:nvSpPr>
        <xdr:spPr bwMode="auto">
          <a:xfrm flipV="1">
            <a:off x="15316200" y="778002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616" name="Line 20">
            <a:extLst>
              <a:ext uri="{FF2B5EF4-FFF2-40B4-BE49-F238E27FC236}">
                <a16:creationId xmlns:a16="http://schemas.microsoft.com/office/drawing/2014/main" id="{00000000-0008-0000-0400-000098770000}"/>
              </a:ext>
            </a:extLst>
          </xdr:cNvPr>
          <xdr:cNvSpPr>
            <a:spLocks noChangeShapeType="1"/>
          </xdr:cNvSpPr>
        </xdr:nvSpPr>
        <xdr:spPr bwMode="auto">
          <a:xfrm flipV="1">
            <a:off x="15331440" y="88087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46</xdr:row>
      <xdr:rowOff>152400</xdr:rowOff>
    </xdr:from>
    <xdr:to>
      <xdr:col>4</xdr:col>
      <xdr:colOff>257175</xdr:colOff>
      <xdr:row>46</xdr:row>
      <xdr:rowOff>152400</xdr:rowOff>
    </xdr:to>
    <xdr:sp macro="" textlink="">
      <xdr:nvSpPr>
        <xdr:cNvPr id="39571" name="Line 21">
          <a:extLst>
            <a:ext uri="{FF2B5EF4-FFF2-40B4-BE49-F238E27FC236}">
              <a16:creationId xmlns:a16="http://schemas.microsoft.com/office/drawing/2014/main" id="{00000000-0008-0000-0500-0000939A0000}"/>
            </a:ext>
          </a:extLst>
        </xdr:cNvPr>
        <xdr:cNvSpPr>
          <a:spLocks noChangeShapeType="1"/>
        </xdr:cNvSpPr>
      </xdr:nvSpPr>
      <xdr:spPr bwMode="auto">
        <a:xfrm flipV="1">
          <a:off x="3448050" y="9401175"/>
          <a:ext cx="2571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48</xdr:row>
      <xdr:rowOff>142875</xdr:rowOff>
    </xdr:from>
    <xdr:to>
      <xdr:col>4</xdr:col>
      <xdr:colOff>238125</xdr:colOff>
      <xdr:row>48</xdr:row>
      <xdr:rowOff>142875</xdr:rowOff>
    </xdr:to>
    <xdr:sp macro="" textlink="">
      <xdr:nvSpPr>
        <xdr:cNvPr id="39572" name="Line 21">
          <a:extLst>
            <a:ext uri="{FF2B5EF4-FFF2-40B4-BE49-F238E27FC236}">
              <a16:creationId xmlns:a16="http://schemas.microsoft.com/office/drawing/2014/main" id="{00000000-0008-0000-0500-0000949A0000}"/>
            </a:ext>
          </a:extLst>
        </xdr:cNvPr>
        <xdr:cNvSpPr>
          <a:spLocks noChangeShapeType="1"/>
        </xdr:cNvSpPr>
      </xdr:nvSpPr>
      <xdr:spPr bwMode="auto">
        <a:xfrm flipV="1">
          <a:off x="3457575" y="988695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152400</xdr:rowOff>
    </xdr:from>
    <xdr:to>
      <xdr:col>4</xdr:col>
      <xdr:colOff>238125</xdr:colOff>
      <xdr:row>50</xdr:row>
      <xdr:rowOff>152400</xdr:rowOff>
    </xdr:to>
    <xdr:sp macro="" textlink="">
      <xdr:nvSpPr>
        <xdr:cNvPr id="39573" name="Line 21">
          <a:extLst>
            <a:ext uri="{FF2B5EF4-FFF2-40B4-BE49-F238E27FC236}">
              <a16:creationId xmlns:a16="http://schemas.microsoft.com/office/drawing/2014/main" id="{00000000-0008-0000-0500-0000959A0000}"/>
            </a:ext>
          </a:extLst>
        </xdr:cNvPr>
        <xdr:cNvSpPr>
          <a:spLocks noChangeShapeType="1"/>
        </xdr:cNvSpPr>
      </xdr:nvSpPr>
      <xdr:spPr bwMode="auto">
        <a:xfrm flipV="1">
          <a:off x="3448050" y="10182225"/>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56</xdr:row>
      <xdr:rowOff>171450</xdr:rowOff>
    </xdr:from>
    <xdr:to>
      <xdr:col>4</xdr:col>
      <xdr:colOff>257175</xdr:colOff>
      <xdr:row>56</xdr:row>
      <xdr:rowOff>171450</xdr:rowOff>
    </xdr:to>
    <xdr:sp macro="" textlink="">
      <xdr:nvSpPr>
        <xdr:cNvPr id="39574" name="Line 21">
          <a:extLst>
            <a:ext uri="{FF2B5EF4-FFF2-40B4-BE49-F238E27FC236}">
              <a16:creationId xmlns:a16="http://schemas.microsoft.com/office/drawing/2014/main" id="{00000000-0008-0000-0500-0000969A0000}"/>
            </a:ext>
          </a:extLst>
        </xdr:cNvPr>
        <xdr:cNvSpPr>
          <a:spLocks noChangeShapeType="1"/>
        </xdr:cNvSpPr>
      </xdr:nvSpPr>
      <xdr:spPr bwMode="auto">
        <a:xfrm flipV="1">
          <a:off x="3457575" y="11220450"/>
          <a:ext cx="2476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58</xdr:row>
      <xdr:rowOff>180975</xdr:rowOff>
    </xdr:from>
    <xdr:to>
      <xdr:col>4</xdr:col>
      <xdr:colOff>247650</xdr:colOff>
      <xdr:row>58</xdr:row>
      <xdr:rowOff>180975</xdr:rowOff>
    </xdr:to>
    <xdr:sp macro="" textlink="">
      <xdr:nvSpPr>
        <xdr:cNvPr id="39575" name="Line 21">
          <a:extLst>
            <a:ext uri="{FF2B5EF4-FFF2-40B4-BE49-F238E27FC236}">
              <a16:creationId xmlns:a16="http://schemas.microsoft.com/office/drawing/2014/main" id="{00000000-0008-0000-0500-0000979A0000}"/>
            </a:ext>
          </a:extLst>
        </xdr:cNvPr>
        <xdr:cNvSpPr>
          <a:spLocks noChangeShapeType="1"/>
        </xdr:cNvSpPr>
      </xdr:nvSpPr>
      <xdr:spPr bwMode="auto">
        <a:xfrm flipV="1">
          <a:off x="3457575" y="11563350"/>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171450</xdr:rowOff>
    </xdr:from>
    <xdr:to>
      <xdr:col>4</xdr:col>
      <xdr:colOff>266700</xdr:colOff>
      <xdr:row>60</xdr:row>
      <xdr:rowOff>171450</xdr:rowOff>
    </xdr:to>
    <xdr:sp macro="" textlink="">
      <xdr:nvSpPr>
        <xdr:cNvPr id="39576" name="Line 21">
          <a:extLst>
            <a:ext uri="{FF2B5EF4-FFF2-40B4-BE49-F238E27FC236}">
              <a16:creationId xmlns:a16="http://schemas.microsoft.com/office/drawing/2014/main" id="{00000000-0008-0000-0500-0000989A0000}"/>
            </a:ext>
          </a:extLst>
        </xdr:cNvPr>
        <xdr:cNvSpPr>
          <a:spLocks noChangeShapeType="1"/>
        </xdr:cNvSpPr>
      </xdr:nvSpPr>
      <xdr:spPr bwMode="auto">
        <a:xfrm>
          <a:off x="3448050" y="11820525"/>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44</xdr:row>
      <xdr:rowOff>123825</xdr:rowOff>
    </xdr:from>
    <xdr:to>
      <xdr:col>9</xdr:col>
      <xdr:colOff>123825</xdr:colOff>
      <xdr:row>44</xdr:row>
      <xdr:rowOff>123825</xdr:rowOff>
    </xdr:to>
    <xdr:sp macro="" textlink="">
      <xdr:nvSpPr>
        <xdr:cNvPr id="39577" name="Line 21">
          <a:extLst>
            <a:ext uri="{FF2B5EF4-FFF2-40B4-BE49-F238E27FC236}">
              <a16:creationId xmlns:a16="http://schemas.microsoft.com/office/drawing/2014/main" id="{00000000-0008-0000-0500-0000999A0000}"/>
            </a:ext>
          </a:extLst>
        </xdr:cNvPr>
        <xdr:cNvSpPr>
          <a:spLocks noChangeShapeType="1"/>
        </xdr:cNvSpPr>
      </xdr:nvSpPr>
      <xdr:spPr bwMode="auto">
        <a:xfrm>
          <a:off x="5029200" y="8877300"/>
          <a:ext cx="219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133350</xdr:colOff>
      <xdr:row>44</xdr:row>
      <xdr:rowOff>133350</xdr:rowOff>
    </xdr:from>
    <xdr:to>
      <xdr:col>9</xdr:col>
      <xdr:colOff>133350</xdr:colOff>
      <xdr:row>57</xdr:row>
      <xdr:rowOff>95250</xdr:rowOff>
    </xdr:to>
    <xdr:sp macro="" textlink="">
      <xdr:nvSpPr>
        <xdr:cNvPr id="39578" name="Line 18">
          <a:extLst>
            <a:ext uri="{FF2B5EF4-FFF2-40B4-BE49-F238E27FC236}">
              <a16:creationId xmlns:a16="http://schemas.microsoft.com/office/drawing/2014/main" id="{00000000-0008-0000-0500-00009A9A0000}"/>
            </a:ext>
          </a:extLst>
        </xdr:cNvPr>
        <xdr:cNvSpPr>
          <a:spLocks noChangeShapeType="1"/>
        </xdr:cNvSpPr>
      </xdr:nvSpPr>
      <xdr:spPr bwMode="auto">
        <a:xfrm>
          <a:off x="5257800" y="8886825"/>
          <a:ext cx="0" cy="24955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28575</xdr:colOff>
      <xdr:row>47</xdr:row>
      <xdr:rowOff>95250</xdr:rowOff>
    </xdr:from>
    <xdr:to>
      <xdr:col>9</xdr:col>
      <xdr:colOff>133350</xdr:colOff>
      <xdr:row>47</xdr:row>
      <xdr:rowOff>95250</xdr:rowOff>
    </xdr:to>
    <xdr:sp macro="" textlink="">
      <xdr:nvSpPr>
        <xdr:cNvPr id="39579" name="Line 21">
          <a:extLst>
            <a:ext uri="{FF2B5EF4-FFF2-40B4-BE49-F238E27FC236}">
              <a16:creationId xmlns:a16="http://schemas.microsoft.com/office/drawing/2014/main" id="{00000000-0008-0000-0500-00009B9A0000}"/>
            </a:ext>
          </a:extLst>
        </xdr:cNvPr>
        <xdr:cNvSpPr>
          <a:spLocks noChangeShapeType="1"/>
        </xdr:cNvSpPr>
      </xdr:nvSpPr>
      <xdr:spPr bwMode="auto">
        <a:xfrm flipV="1">
          <a:off x="5048250" y="9591675"/>
          <a:ext cx="209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50</xdr:row>
      <xdr:rowOff>161925</xdr:rowOff>
    </xdr:from>
    <xdr:to>
      <xdr:col>9</xdr:col>
      <xdr:colOff>161925</xdr:colOff>
      <xdr:row>50</xdr:row>
      <xdr:rowOff>161925</xdr:rowOff>
    </xdr:to>
    <xdr:sp macro="" textlink="">
      <xdr:nvSpPr>
        <xdr:cNvPr id="39580" name="Line 21">
          <a:extLst>
            <a:ext uri="{FF2B5EF4-FFF2-40B4-BE49-F238E27FC236}">
              <a16:creationId xmlns:a16="http://schemas.microsoft.com/office/drawing/2014/main" id="{00000000-0008-0000-0500-00009C9A0000}"/>
            </a:ext>
          </a:extLst>
        </xdr:cNvPr>
        <xdr:cNvSpPr>
          <a:spLocks noChangeShapeType="1"/>
        </xdr:cNvSpPr>
      </xdr:nvSpPr>
      <xdr:spPr bwMode="auto">
        <a:xfrm flipV="1">
          <a:off x="5057775" y="1019175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57</xdr:row>
      <xdr:rowOff>95250</xdr:rowOff>
    </xdr:from>
    <xdr:to>
      <xdr:col>9</xdr:col>
      <xdr:colOff>133350</xdr:colOff>
      <xdr:row>57</xdr:row>
      <xdr:rowOff>95250</xdr:rowOff>
    </xdr:to>
    <xdr:sp macro="" textlink="">
      <xdr:nvSpPr>
        <xdr:cNvPr id="39581" name="Line 21">
          <a:extLst>
            <a:ext uri="{FF2B5EF4-FFF2-40B4-BE49-F238E27FC236}">
              <a16:creationId xmlns:a16="http://schemas.microsoft.com/office/drawing/2014/main" id="{00000000-0008-0000-0500-00009D9A0000}"/>
            </a:ext>
          </a:extLst>
        </xdr:cNvPr>
        <xdr:cNvSpPr>
          <a:spLocks noChangeShapeType="1"/>
        </xdr:cNvSpPr>
      </xdr:nvSpPr>
      <xdr:spPr bwMode="auto">
        <a:xfrm>
          <a:off x="5057775" y="11382375"/>
          <a:ext cx="200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161925</xdr:colOff>
      <xdr:row>50</xdr:row>
      <xdr:rowOff>19050</xdr:rowOff>
    </xdr:from>
    <xdr:to>
      <xdr:col>11</xdr:col>
      <xdr:colOff>38100</xdr:colOff>
      <xdr:row>50</xdr:row>
      <xdr:rowOff>19050</xdr:rowOff>
    </xdr:to>
    <xdr:sp macro="" textlink="">
      <xdr:nvSpPr>
        <xdr:cNvPr id="39582" name="Line 21">
          <a:extLst>
            <a:ext uri="{FF2B5EF4-FFF2-40B4-BE49-F238E27FC236}">
              <a16:creationId xmlns:a16="http://schemas.microsoft.com/office/drawing/2014/main" id="{00000000-0008-0000-0500-00009E9A0000}"/>
            </a:ext>
          </a:extLst>
        </xdr:cNvPr>
        <xdr:cNvSpPr>
          <a:spLocks noChangeShapeType="1"/>
        </xdr:cNvSpPr>
      </xdr:nvSpPr>
      <xdr:spPr bwMode="auto">
        <a:xfrm>
          <a:off x="5286375" y="10048875"/>
          <a:ext cx="3905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45</xdr:row>
      <xdr:rowOff>9525</xdr:rowOff>
    </xdr:from>
    <xdr:to>
      <xdr:col>4</xdr:col>
      <xdr:colOff>247650</xdr:colOff>
      <xdr:row>60</xdr:row>
      <xdr:rowOff>180975</xdr:rowOff>
    </xdr:to>
    <xdr:sp macro="" textlink="">
      <xdr:nvSpPr>
        <xdr:cNvPr id="39583" name="Line 18">
          <a:extLst>
            <a:ext uri="{FF2B5EF4-FFF2-40B4-BE49-F238E27FC236}">
              <a16:creationId xmlns:a16="http://schemas.microsoft.com/office/drawing/2014/main" id="{00000000-0008-0000-0500-00009F9A0000}"/>
            </a:ext>
          </a:extLst>
        </xdr:cNvPr>
        <xdr:cNvSpPr>
          <a:spLocks noChangeShapeType="1"/>
        </xdr:cNvSpPr>
      </xdr:nvSpPr>
      <xdr:spPr bwMode="auto">
        <a:xfrm flipH="1">
          <a:off x="3695700" y="9105900"/>
          <a:ext cx="0" cy="272415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49</xdr:row>
      <xdr:rowOff>171450</xdr:rowOff>
    </xdr:from>
    <xdr:to>
      <xdr:col>23</xdr:col>
      <xdr:colOff>209550</xdr:colOff>
      <xdr:row>49</xdr:row>
      <xdr:rowOff>171450</xdr:rowOff>
    </xdr:to>
    <xdr:sp macro="" textlink="">
      <xdr:nvSpPr>
        <xdr:cNvPr id="39584" name="Line 21">
          <a:extLst>
            <a:ext uri="{FF2B5EF4-FFF2-40B4-BE49-F238E27FC236}">
              <a16:creationId xmlns:a16="http://schemas.microsoft.com/office/drawing/2014/main" id="{00000000-0008-0000-0500-0000A09A0000}"/>
            </a:ext>
          </a:extLst>
        </xdr:cNvPr>
        <xdr:cNvSpPr>
          <a:spLocks noChangeShapeType="1"/>
        </xdr:cNvSpPr>
      </xdr:nvSpPr>
      <xdr:spPr bwMode="auto">
        <a:xfrm flipV="1">
          <a:off x="7686675" y="10029825"/>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190500</xdr:colOff>
      <xdr:row>48</xdr:row>
      <xdr:rowOff>9525</xdr:rowOff>
    </xdr:from>
    <xdr:to>
      <xdr:col>23</xdr:col>
      <xdr:colOff>190500</xdr:colOff>
      <xdr:row>60</xdr:row>
      <xdr:rowOff>95250</xdr:rowOff>
    </xdr:to>
    <xdr:sp macro="" textlink="">
      <xdr:nvSpPr>
        <xdr:cNvPr id="39585" name="Line 18">
          <a:extLst>
            <a:ext uri="{FF2B5EF4-FFF2-40B4-BE49-F238E27FC236}">
              <a16:creationId xmlns:a16="http://schemas.microsoft.com/office/drawing/2014/main" id="{00000000-0008-0000-0500-0000A19A0000}"/>
            </a:ext>
          </a:extLst>
        </xdr:cNvPr>
        <xdr:cNvSpPr>
          <a:spLocks noChangeShapeType="1"/>
        </xdr:cNvSpPr>
      </xdr:nvSpPr>
      <xdr:spPr bwMode="auto">
        <a:xfrm>
          <a:off x="8877300" y="9753600"/>
          <a:ext cx="0" cy="19907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52</xdr:row>
      <xdr:rowOff>104775</xdr:rowOff>
    </xdr:from>
    <xdr:to>
      <xdr:col>26</xdr:col>
      <xdr:colOff>19050</xdr:colOff>
      <xdr:row>52</xdr:row>
      <xdr:rowOff>104775</xdr:rowOff>
    </xdr:to>
    <xdr:sp macro="" textlink="">
      <xdr:nvSpPr>
        <xdr:cNvPr id="39586" name="Line 21">
          <a:extLst>
            <a:ext uri="{FF2B5EF4-FFF2-40B4-BE49-F238E27FC236}">
              <a16:creationId xmlns:a16="http://schemas.microsoft.com/office/drawing/2014/main" id="{00000000-0008-0000-0500-0000A29A0000}"/>
            </a:ext>
          </a:extLst>
        </xdr:cNvPr>
        <xdr:cNvSpPr>
          <a:spLocks noChangeShapeType="1"/>
        </xdr:cNvSpPr>
      </xdr:nvSpPr>
      <xdr:spPr bwMode="auto">
        <a:xfrm>
          <a:off x="8877300" y="10506075"/>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209550</xdr:colOff>
      <xdr:row>54</xdr:row>
      <xdr:rowOff>104775</xdr:rowOff>
    </xdr:from>
    <xdr:to>
      <xdr:col>26</xdr:col>
      <xdr:colOff>19050</xdr:colOff>
      <xdr:row>54</xdr:row>
      <xdr:rowOff>104775</xdr:rowOff>
    </xdr:to>
    <xdr:sp macro="" textlink="">
      <xdr:nvSpPr>
        <xdr:cNvPr id="39587" name="Line 21">
          <a:extLst>
            <a:ext uri="{FF2B5EF4-FFF2-40B4-BE49-F238E27FC236}">
              <a16:creationId xmlns:a16="http://schemas.microsoft.com/office/drawing/2014/main" id="{00000000-0008-0000-0500-0000A39A0000}"/>
            </a:ext>
          </a:extLst>
        </xdr:cNvPr>
        <xdr:cNvSpPr>
          <a:spLocks noChangeShapeType="1"/>
        </xdr:cNvSpPr>
      </xdr:nvSpPr>
      <xdr:spPr bwMode="auto">
        <a:xfrm flipV="1">
          <a:off x="8896350" y="10829925"/>
          <a:ext cx="714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60</xdr:row>
      <xdr:rowOff>76200</xdr:rowOff>
    </xdr:from>
    <xdr:to>
      <xdr:col>26</xdr:col>
      <xdr:colOff>28575</xdr:colOff>
      <xdr:row>60</xdr:row>
      <xdr:rowOff>76200</xdr:rowOff>
    </xdr:to>
    <xdr:sp macro="" textlink="">
      <xdr:nvSpPr>
        <xdr:cNvPr id="39588" name="Line 21">
          <a:extLst>
            <a:ext uri="{FF2B5EF4-FFF2-40B4-BE49-F238E27FC236}">
              <a16:creationId xmlns:a16="http://schemas.microsoft.com/office/drawing/2014/main" id="{00000000-0008-0000-0500-0000A49A0000}"/>
            </a:ext>
          </a:extLst>
        </xdr:cNvPr>
        <xdr:cNvSpPr>
          <a:spLocks noChangeShapeType="1"/>
        </xdr:cNvSpPr>
      </xdr:nvSpPr>
      <xdr:spPr bwMode="auto">
        <a:xfrm flipV="1">
          <a:off x="8886825" y="11725275"/>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190500</xdr:colOff>
      <xdr:row>56</xdr:row>
      <xdr:rowOff>114300</xdr:rowOff>
    </xdr:from>
    <xdr:to>
      <xdr:col>26</xdr:col>
      <xdr:colOff>0</xdr:colOff>
      <xdr:row>56</xdr:row>
      <xdr:rowOff>114300</xdr:rowOff>
    </xdr:to>
    <xdr:sp macro="" textlink="">
      <xdr:nvSpPr>
        <xdr:cNvPr id="39589" name="Line 21">
          <a:extLst>
            <a:ext uri="{FF2B5EF4-FFF2-40B4-BE49-F238E27FC236}">
              <a16:creationId xmlns:a16="http://schemas.microsoft.com/office/drawing/2014/main" id="{00000000-0008-0000-0500-0000A59A0000}"/>
            </a:ext>
          </a:extLst>
        </xdr:cNvPr>
        <xdr:cNvSpPr>
          <a:spLocks noChangeShapeType="1"/>
        </xdr:cNvSpPr>
      </xdr:nvSpPr>
      <xdr:spPr bwMode="auto">
        <a:xfrm flipV="1">
          <a:off x="8877300" y="11163300"/>
          <a:ext cx="714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190500</xdr:colOff>
      <xdr:row>58</xdr:row>
      <xdr:rowOff>95250</xdr:rowOff>
    </xdr:from>
    <xdr:to>
      <xdr:col>26</xdr:col>
      <xdr:colOff>9525</xdr:colOff>
      <xdr:row>58</xdr:row>
      <xdr:rowOff>95250</xdr:rowOff>
    </xdr:to>
    <xdr:sp macro="" textlink="">
      <xdr:nvSpPr>
        <xdr:cNvPr id="39590" name="Line 21">
          <a:extLst>
            <a:ext uri="{FF2B5EF4-FFF2-40B4-BE49-F238E27FC236}">
              <a16:creationId xmlns:a16="http://schemas.microsoft.com/office/drawing/2014/main" id="{00000000-0008-0000-0500-0000A69A0000}"/>
            </a:ext>
          </a:extLst>
        </xdr:cNvPr>
        <xdr:cNvSpPr>
          <a:spLocks noChangeShapeType="1"/>
        </xdr:cNvSpPr>
      </xdr:nvSpPr>
      <xdr:spPr bwMode="auto">
        <a:xfrm flipV="1">
          <a:off x="8877300" y="11477625"/>
          <a:ext cx="723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50</xdr:row>
      <xdr:rowOff>19050</xdr:rowOff>
    </xdr:from>
    <xdr:to>
      <xdr:col>15</xdr:col>
      <xdr:colOff>381000</xdr:colOff>
      <xdr:row>58</xdr:row>
      <xdr:rowOff>19050</xdr:rowOff>
    </xdr:to>
    <xdr:grpSp>
      <xdr:nvGrpSpPr>
        <xdr:cNvPr id="39591" name="Group 2">
          <a:extLst>
            <a:ext uri="{FF2B5EF4-FFF2-40B4-BE49-F238E27FC236}">
              <a16:creationId xmlns:a16="http://schemas.microsoft.com/office/drawing/2014/main" id="{00000000-0008-0000-0500-0000A79A0000}"/>
            </a:ext>
          </a:extLst>
        </xdr:cNvPr>
        <xdr:cNvGrpSpPr>
          <a:grpSpLocks/>
        </xdr:cNvGrpSpPr>
      </xdr:nvGrpSpPr>
      <xdr:grpSpPr bwMode="auto">
        <a:xfrm>
          <a:off x="6555441" y="10093138"/>
          <a:ext cx="481853" cy="1355912"/>
          <a:chOff x="13396856" y="8348831"/>
          <a:chExt cx="579120" cy="723451"/>
        </a:xfrm>
      </xdr:grpSpPr>
      <xdr:sp macro="" textlink="">
        <xdr:nvSpPr>
          <xdr:cNvPr id="39596" name="Line 21">
            <a:extLst>
              <a:ext uri="{FF2B5EF4-FFF2-40B4-BE49-F238E27FC236}">
                <a16:creationId xmlns:a16="http://schemas.microsoft.com/office/drawing/2014/main" id="{00000000-0008-0000-0500-0000AC9A0000}"/>
              </a:ext>
            </a:extLst>
          </xdr:cNvPr>
          <xdr:cNvSpPr>
            <a:spLocks noChangeShapeType="1"/>
          </xdr:cNvSpPr>
        </xdr:nvSpPr>
        <xdr:spPr bwMode="auto">
          <a:xfrm flipV="1">
            <a:off x="13396856" y="8348831"/>
            <a:ext cx="5791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sp macro="" textlink="">
        <xdr:nvSpPr>
          <xdr:cNvPr id="39597" name="Line 223">
            <a:extLst>
              <a:ext uri="{FF2B5EF4-FFF2-40B4-BE49-F238E27FC236}">
                <a16:creationId xmlns:a16="http://schemas.microsoft.com/office/drawing/2014/main" id="{00000000-0008-0000-0500-0000AD9A0000}"/>
              </a:ext>
            </a:extLst>
          </xdr:cNvPr>
          <xdr:cNvSpPr>
            <a:spLocks noChangeShapeType="1"/>
          </xdr:cNvSpPr>
        </xdr:nvSpPr>
        <xdr:spPr bwMode="auto">
          <a:xfrm>
            <a:off x="13644282" y="8356451"/>
            <a:ext cx="0" cy="715831"/>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0</xdr:colOff>
      <xdr:row>52</xdr:row>
      <xdr:rowOff>180975</xdr:rowOff>
    </xdr:from>
    <xdr:to>
      <xdr:col>4</xdr:col>
      <xdr:colOff>238125</xdr:colOff>
      <xdr:row>52</xdr:row>
      <xdr:rowOff>180975</xdr:rowOff>
    </xdr:to>
    <xdr:sp macro="" textlink="">
      <xdr:nvSpPr>
        <xdr:cNvPr id="39592" name="Line 21">
          <a:extLst>
            <a:ext uri="{FF2B5EF4-FFF2-40B4-BE49-F238E27FC236}">
              <a16:creationId xmlns:a16="http://schemas.microsoft.com/office/drawing/2014/main" id="{00000000-0008-0000-0500-0000A89A0000}"/>
            </a:ext>
          </a:extLst>
        </xdr:cNvPr>
        <xdr:cNvSpPr>
          <a:spLocks noChangeShapeType="1"/>
        </xdr:cNvSpPr>
      </xdr:nvSpPr>
      <xdr:spPr bwMode="auto">
        <a:xfrm flipV="1">
          <a:off x="3448050" y="10582275"/>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54</xdr:row>
      <xdr:rowOff>180975</xdr:rowOff>
    </xdr:from>
    <xdr:to>
      <xdr:col>4</xdr:col>
      <xdr:colOff>247650</xdr:colOff>
      <xdr:row>54</xdr:row>
      <xdr:rowOff>180975</xdr:rowOff>
    </xdr:to>
    <xdr:sp macro="" textlink="">
      <xdr:nvSpPr>
        <xdr:cNvPr id="39593" name="Line 21">
          <a:extLst>
            <a:ext uri="{FF2B5EF4-FFF2-40B4-BE49-F238E27FC236}">
              <a16:creationId xmlns:a16="http://schemas.microsoft.com/office/drawing/2014/main" id="{00000000-0008-0000-0500-0000A99A0000}"/>
            </a:ext>
          </a:extLst>
        </xdr:cNvPr>
        <xdr:cNvSpPr>
          <a:spLocks noChangeShapeType="1"/>
        </xdr:cNvSpPr>
      </xdr:nvSpPr>
      <xdr:spPr bwMode="auto">
        <a:xfrm flipV="1">
          <a:off x="3457575" y="10906125"/>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48</xdr:row>
      <xdr:rowOff>38100</xdr:rowOff>
    </xdr:from>
    <xdr:to>
      <xdr:col>26</xdr:col>
      <xdr:colOff>28575</xdr:colOff>
      <xdr:row>48</xdr:row>
      <xdr:rowOff>38100</xdr:rowOff>
    </xdr:to>
    <xdr:sp macro="" textlink="">
      <xdr:nvSpPr>
        <xdr:cNvPr id="39594" name="Line 21">
          <a:extLst>
            <a:ext uri="{FF2B5EF4-FFF2-40B4-BE49-F238E27FC236}">
              <a16:creationId xmlns:a16="http://schemas.microsoft.com/office/drawing/2014/main" id="{00000000-0008-0000-0500-0000AA9A0000}"/>
            </a:ext>
          </a:extLst>
        </xdr:cNvPr>
        <xdr:cNvSpPr>
          <a:spLocks noChangeShapeType="1"/>
        </xdr:cNvSpPr>
      </xdr:nvSpPr>
      <xdr:spPr bwMode="auto">
        <a:xfrm>
          <a:off x="8886825" y="9782175"/>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180975</xdr:colOff>
      <xdr:row>50</xdr:row>
      <xdr:rowOff>57150</xdr:rowOff>
    </xdr:from>
    <xdr:to>
      <xdr:col>26</xdr:col>
      <xdr:colOff>9525</xdr:colOff>
      <xdr:row>50</xdr:row>
      <xdr:rowOff>57150</xdr:rowOff>
    </xdr:to>
    <xdr:sp macro="" textlink="">
      <xdr:nvSpPr>
        <xdr:cNvPr id="39595" name="Line 21">
          <a:extLst>
            <a:ext uri="{FF2B5EF4-FFF2-40B4-BE49-F238E27FC236}">
              <a16:creationId xmlns:a16="http://schemas.microsoft.com/office/drawing/2014/main" id="{00000000-0008-0000-0500-0000AB9A0000}"/>
            </a:ext>
          </a:extLst>
        </xdr:cNvPr>
        <xdr:cNvSpPr>
          <a:spLocks noChangeShapeType="1"/>
        </xdr:cNvSpPr>
      </xdr:nvSpPr>
      <xdr:spPr bwMode="auto">
        <a:xfrm>
          <a:off x="8867775" y="10086975"/>
          <a:ext cx="7334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xdr:colOff>
      <xdr:row>32</xdr:row>
      <xdr:rowOff>314325</xdr:rowOff>
    </xdr:from>
    <xdr:to>
      <xdr:col>10</xdr:col>
      <xdr:colOff>0</xdr:colOff>
      <xdr:row>32</xdr:row>
      <xdr:rowOff>314325</xdr:rowOff>
    </xdr:to>
    <xdr:sp macro="" textlink="">
      <xdr:nvSpPr>
        <xdr:cNvPr id="40993" name="Line 15">
          <a:extLst>
            <a:ext uri="{FF2B5EF4-FFF2-40B4-BE49-F238E27FC236}">
              <a16:creationId xmlns:a16="http://schemas.microsoft.com/office/drawing/2014/main" id="{00000000-0008-0000-0600-000021A00000}"/>
            </a:ext>
          </a:extLst>
        </xdr:cNvPr>
        <xdr:cNvSpPr>
          <a:spLocks noChangeShapeType="1"/>
        </xdr:cNvSpPr>
      </xdr:nvSpPr>
      <xdr:spPr bwMode="auto">
        <a:xfrm>
          <a:off x="2771775" y="8296275"/>
          <a:ext cx="20478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238125</xdr:colOff>
      <xdr:row>32</xdr:row>
      <xdr:rowOff>314325</xdr:rowOff>
    </xdr:from>
    <xdr:to>
      <xdr:col>5</xdr:col>
      <xdr:colOff>238125</xdr:colOff>
      <xdr:row>41</xdr:row>
      <xdr:rowOff>0</xdr:rowOff>
    </xdr:to>
    <xdr:sp macro="" textlink="">
      <xdr:nvSpPr>
        <xdr:cNvPr id="40994" name="Line 16">
          <a:extLst>
            <a:ext uri="{FF2B5EF4-FFF2-40B4-BE49-F238E27FC236}">
              <a16:creationId xmlns:a16="http://schemas.microsoft.com/office/drawing/2014/main" id="{00000000-0008-0000-0600-000022A00000}"/>
            </a:ext>
          </a:extLst>
        </xdr:cNvPr>
        <xdr:cNvSpPr>
          <a:spLocks noChangeShapeType="1"/>
        </xdr:cNvSpPr>
      </xdr:nvSpPr>
      <xdr:spPr bwMode="auto">
        <a:xfrm>
          <a:off x="3581400" y="8296275"/>
          <a:ext cx="0" cy="17335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32</xdr:row>
      <xdr:rowOff>352425</xdr:rowOff>
    </xdr:from>
    <xdr:to>
      <xdr:col>17</xdr:col>
      <xdr:colOff>323850</xdr:colOff>
      <xdr:row>32</xdr:row>
      <xdr:rowOff>352425</xdr:rowOff>
    </xdr:to>
    <xdr:sp macro="" textlink="">
      <xdr:nvSpPr>
        <xdr:cNvPr id="40995" name="Line 17">
          <a:extLst>
            <a:ext uri="{FF2B5EF4-FFF2-40B4-BE49-F238E27FC236}">
              <a16:creationId xmlns:a16="http://schemas.microsoft.com/office/drawing/2014/main" id="{00000000-0008-0000-0600-000023A00000}"/>
            </a:ext>
          </a:extLst>
        </xdr:cNvPr>
        <xdr:cNvSpPr>
          <a:spLocks noChangeShapeType="1"/>
        </xdr:cNvSpPr>
      </xdr:nvSpPr>
      <xdr:spPr bwMode="auto">
        <a:xfrm flipV="1">
          <a:off x="5867400" y="8334375"/>
          <a:ext cx="914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314325</xdr:colOff>
      <xdr:row>30</xdr:row>
      <xdr:rowOff>66675</xdr:rowOff>
    </xdr:from>
    <xdr:to>
      <xdr:col>17</xdr:col>
      <xdr:colOff>314325</xdr:colOff>
      <xdr:row>42</xdr:row>
      <xdr:rowOff>228600</xdr:rowOff>
    </xdr:to>
    <xdr:sp macro="" textlink="">
      <xdr:nvSpPr>
        <xdr:cNvPr id="40996" name="Line 18">
          <a:extLst>
            <a:ext uri="{FF2B5EF4-FFF2-40B4-BE49-F238E27FC236}">
              <a16:creationId xmlns:a16="http://schemas.microsoft.com/office/drawing/2014/main" id="{00000000-0008-0000-0600-000024A00000}"/>
            </a:ext>
          </a:extLst>
        </xdr:cNvPr>
        <xdr:cNvSpPr>
          <a:spLocks noChangeShapeType="1"/>
        </xdr:cNvSpPr>
      </xdr:nvSpPr>
      <xdr:spPr bwMode="auto">
        <a:xfrm flipH="1">
          <a:off x="6772275" y="7658100"/>
          <a:ext cx="0" cy="27432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314325</xdr:colOff>
      <xdr:row>30</xdr:row>
      <xdr:rowOff>66675</xdr:rowOff>
    </xdr:from>
    <xdr:to>
      <xdr:col>20</xdr:col>
      <xdr:colOff>9525</xdr:colOff>
      <xdr:row>30</xdr:row>
      <xdr:rowOff>66675</xdr:rowOff>
    </xdr:to>
    <xdr:sp macro="" textlink="">
      <xdr:nvSpPr>
        <xdr:cNvPr id="40997" name="Line 19">
          <a:extLst>
            <a:ext uri="{FF2B5EF4-FFF2-40B4-BE49-F238E27FC236}">
              <a16:creationId xmlns:a16="http://schemas.microsoft.com/office/drawing/2014/main" id="{00000000-0008-0000-0600-000025A00000}"/>
            </a:ext>
          </a:extLst>
        </xdr:cNvPr>
        <xdr:cNvSpPr>
          <a:spLocks noChangeShapeType="1"/>
        </xdr:cNvSpPr>
      </xdr:nvSpPr>
      <xdr:spPr bwMode="auto">
        <a:xfrm flipV="1">
          <a:off x="6772275" y="7658100"/>
          <a:ext cx="600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323850</xdr:colOff>
      <xdr:row>32</xdr:row>
      <xdr:rowOff>219075</xdr:rowOff>
    </xdr:from>
    <xdr:to>
      <xdr:col>20</xdr:col>
      <xdr:colOff>9525</xdr:colOff>
      <xdr:row>32</xdr:row>
      <xdr:rowOff>219075</xdr:rowOff>
    </xdr:to>
    <xdr:sp macro="" textlink="">
      <xdr:nvSpPr>
        <xdr:cNvPr id="40998" name="Line 20">
          <a:extLst>
            <a:ext uri="{FF2B5EF4-FFF2-40B4-BE49-F238E27FC236}">
              <a16:creationId xmlns:a16="http://schemas.microsoft.com/office/drawing/2014/main" id="{00000000-0008-0000-0600-000026A00000}"/>
            </a:ext>
          </a:extLst>
        </xdr:cNvPr>
        <xdr:cNvSpPr>
          <a:spLocks noChangeShapeType="1"/>
        </xdr:cNvSpPr>
      </xdr:nvSpPr>
      <xdr:spPr bwMode="auto">
        <a:xfrm>
          <a:off x="6781800" y="8201025"/>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323850</xdr:colOff>
      <xdr:row>36</xdr:row>
      <xdr:rowOff>161925</xdr:rowOff>
    </xdr:from>
    <xdr:to>
      <xdr:col>20</xdr:col>
      <xdr:colOff>9525</xdr:colOff>
      <xdr:row>36</xdr:row>
      <xdr:rowOff>161925</xdr:rowOff>
    </xdr:to>
    <xdr:sp macro="" textlink="">
      <xdr:nvSpPr>
        <xdr:cNvPr id="40999" name="Line 21">
          <a:extLst>
            <a:ext uri="{FF2B5EF4-FFF2-40B4-BE49-F238E27FC236}">
              <a16:creationId xmlns:a16="http://schemas.microsoft.com/office/drawing/2014/main" id="{00000000-0008-0000-0600-000027A00000}"/>
            </a:ext>
          </a:extLst>
        </xdr:cNvPr>
        <xdr:cNvSpPr>
          <a:spLocks noChangeShapeType="1"/>
        </xdr:cNvSpPr>
      </xdr:nvSpPr>
      <xdr:spPr bwMode="auto">
        <a:xfrm>
          <a:off x="6781800" y="9191625"/>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333375</xdr:colOff>
      <xdr:row>40</xdr:row>
      <xdr:rowOff>152400</xdr:rowOff>
    </xdr:from>
    <xdr:to>
      <xdr:col>20</xdr:col>
      <xdr:colOff>9525</xdr:colOff>
      <xdr:row>40</xdr:row>
      <xdr:rowOff>152400</xdr:rowOff>
    </xdr:to>
    <xdr:sp macro="" textlink="">
      <xdr:nvSpPr>
        <xdr:cNvPr id="41000" name="Line 22">
          <a:extLst>
            <a:ext uri="{FF2B5EF4-FFF2-40B4-BE49-F238E27FC236}">
              <a16:creationId xmlns:a16="http://schemas.microsoft.com/office/drawing/2014/main" id="{00000000-0008-0000-0600-000028A00000}"/>
            </a:ext>
          </a:extLst>
        </xdr:cNvPr>
        <xdr:cNvSpPr>
          <a:spLocks noChangeShapeType="1"/>
        </xdr:cNvSpPr>
      </xdr:nvSpPr>
      <xdr:spPr bwMode="auto">
        <a:xfrm flipV="1">
          <a:off x="6791325" y="9944100"/>
          <a:ext cx="581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323850</xdr:colOff>
      <xdr:row>42</xdr:row>
      <xdr:rowOff>209550</xdr:rowOff>
    </xdr:from>
    <xdr:to>
      <xdr:col>19</xdr:col>
      <xdr:colOff>400050</xdr:colOff>
      <xdr:row>42</xdr:row>
      <xdr:rowOff>209550</xdr:rowOff>
    </xdr:to>
    <xdr:sp macro="" textlink="">
      <xdr:nvSpPr>
        <xdr:cNvPr id="41001" name="Line 23">
          <a:extLst>
            <a:ext uri="{FF2B5EF4-FFF2-40B4-BE49-F238E27FC236}">
              <a16:creationId xmlns:a16="http://schemas.microsoft.com/office/drawing/2014/main" id="{00000000-0008-0000-0600-000029A00000}"/>
            </a:ext>
          </a:extLst>
        </xdr:cNvPr>
        <xdr:cNvSpPr>
          <a:spLocks noChangeShapeType="1"/>
        </xdr:cNvSpPr>
      </xdr:nvSpPr>
      <xdr:spPr bwMode="auto">
        <a:xfrm flipV="1">
          <a:off x="6781800" y="10382250"/>
          <a:ext cx="581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333375</xdr:colOff>
      <xdr:row>34</xdr:row>
      <xdr:rowOff>180975</xdr:rowOff>
    </xdr:from>
    <xdr:to>
      <xdr:col>20</xdr:col>
      <xdr:colOff>19050</xdr:colOff>
      <xdr:row>34</xdr:row>
      <xdr:rowOff>180975</xdr:rowOff>
    </xdr:to>
    <xdr:sp macro="" textlink="">
      <xdr:nvSpPr>
        <xdr:cNvPr id="41002" name="Line 20">
          <a:extLst>
            <a:ext uri="{FF2B5EF4-FFF2-40B4-BE49-F238E27FC236}">
              <a16:creationId xmlns:a16="http://schemas.microsoft.com/office/drawing/2014/main" id="{00000000-0008-0000-0600-00002AA00000}"/>
            </a:ext>
          </a:extLst>
        </xdr:cNvPr>
        <xdr:cNvSpPr>
          <a:spLocks noChangeShapeType="1"/>
        </xdr:cNvSpPr>
      </xdr:nvSpPr>
      <xdr:spPr bwMode="auto">
        <a:xfrm>
          <a:off x="6791325" y="8753475"/>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314325</xdr:colOff>
      <xdr:row>38</xdr:row>
      <xdr:rowOff>180975</xdr:rowOff>
    </xdr:from>
    <xdr:to>
      <xdr:col>19</xdr:col>
      <xdr:colOff>400050</xdr:colOff>
      <xdr:row>38</xdr:row>
      <xdr:rowOff>180975</xdr:rowOff>
    </xdr:to>
    <xdr:sp macro="" textlink="">
      <xdr:nvSpPr>
        <xdr:cNvPr id="41003" name="Line 20">
          <a:extLst>
            <a:ext uri="{FF2B5EF4-FFF2-40B4-BE49-F238E27FC236}">
              <a16:creationId xmlns:a16="http://schemas.microsoft.com/office/drawing/2014/main" id="{00000000-0008-0000-0600-00002BA00000}"/>
            </a:ext>
          </a:extLst>
        </xdr:cNvPr>
        <xdr:cNvSpPr>
          <a:spLocks noChangeShapeType="1"/>
        </xdr:cNvSpPr>
      </xdr:nvSpPr>
      <xdr:spPr bwMode="auto">
        <a:xfrm>
          <a:off x="6772275" y="9582150"/>
          <a:ext cx="590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39</xdr:row>
      <xdr:rowOff>19050</xdr:rowOff>
    </xdr:from>
    <xdr:to>
      <xdr:col>9</xdr:col>
      <xdr:colOff>28575</xdr:colOff>
      <xdr:row>39</xdr:row>
      <xdr:rowOff>19050</xdr:rowOff>
    </xdr:to>
    <xdr:sp macro="" textlink="">
      <xdr:nvSpPr>
        <xdr:cNvPr id="38334" name="Line 18">
          <a:extLst>
            <a:ext uri="{FF2B5EF4-FFF2-40B4-BE49-F238E27FC236}">
              <a16:creationId xmlns:a16="http://schemas.microsoft.com/office/drawing/2014/main" id="{00000000-0008-0000-0700-0000BE950000}"/>
            </a:ext>
          </a:extLst>
        </xdr:cNvPr>
        <xdr:cNvSpPr>
          <a:spLocks noChangeShapeType="1"/>
        </xdr:cNvSpPr>
      </xdr:nvSpPr>
      <xdr:spPr bwMode="auto">
        <a:xfrm flipH="1" flipV="1">
          <a:off x="2847975" y="9696450"/>
          <a:ext cx="16383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123825</xdr:rowOff>
    </xdr:from>
    <xdr:to>
      <xdr:col>4</xdr:col>
      <xdr:colOff>238125</xdr:colOff>
      <xdr:row>33</xdr:row>
      <xdr:rowOff>123825</xdr:rowOff>
    </xdr:to>
    <xdr:sp macro="" textlink="">
      <xdr:nvSpPr>
        <xdr:cNvPr id="38335" name="Line 18">
          <a:extLst>
            <a:ext uri="{FF2B5EF4-FFF2-40B4-BE49-F238E27FC236}">
              <a16:creationId xmlns:a16="http://schemas.microsoft.com/office/drawing/2014/main" id="{00000000-0008-0000-0700-0000BF950000}"/>
            </a:ext>
          </a:extLst>
        </xdr:cNvPr>
        <xdr:cNvSpPr>
          <a:spLocks noChangeShapeType="1"/>
        </xdr:cNvSpPr>
      </xdr:nvSpPr>
      <xdr:spPr bwMode="auto">
        <a:xfrm flipH="1" flipV="1">
          <a:off x="2628900" y="84582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133350</xdr:rowOff>
    </xdr:from>
    <xdr:to>
      <xdr:col>4</xdr:col>
      <xdr:colOff>238125</xdr:colOff>
      <xdr:row>37</xdr:row>
      <xdr:rowOff>133350</xdr:rowOff>
    </xdr:to>
    <xdr:sp macro="" textlink="">
      <xdr:nvSpPr>
        <xdr:cNvPr id="38336" name="Line 18">
          <a:extLst>
            <a:ext uri="{FF2B5EF4-FFF2-40B4-BE49-F238E27FC236}">
              <a16:creationId xmlns:a16="http://schemas.microsoft.com/office/drawing/2014/main" id="{00000000-0008-0000-0700-0000C0950000}"/>
            </a:ext>
          </a:extLst>
        </xdr:cNvPr>
        <xdr:cNvSpPr>
          <a:spLocks noChangeShapeType="1"/>
        </xdr:cNvSpPr>
      </xdr:nvSpPr>
      <xdr:spPr bwMode="auto">
        <a:xfrm flipH="1" flipV="1">
          <a:off x="2628900" y="94297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123825</xdr:rowOff>
    </xdr:from>
    <xdr:to>
      <xdr:col>4</xdr:col>
      <xdr:colOff>238125</xdr:colOff>
      <xdr:row>39</xdr:row>
      <xdr:rowOff>123825</xdr:rowOff>
    </xdr:to>
    <xdr:sp macro="" textlink="">
      <xdr:nvSpPr>
        <xdr:cNvPr id="38337" name="Line 18">
          <a:extLst>
            <a:ext uri="{FF2B5EF4-FFF2-40B4-BE49-F238E27FC236}">
              <a16:creationId xmlns:a16="http://schemas.microsoft.com/office/drawing/2014/main" id="{00000000-0008-0000-0700-0000C1950000}"/>
            </a:ext>
          </a:extLst>
        </xdr:cNvPr>
        <xdr:cNvSpPr>
          <a:spLocks noChangeShapeType="1"/>
        </xdr:cNvSpPr>
      </xdr:nvSpPr>
      <xdr:spPr bwMode="auto">
        <a:xfrm flipH="1" flipV="1">
          <a:off x="2628900" y="98012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133350</xdr:rowOff>
    </xdr:from>
    <xdr:to>
      <xdr:col>4</xdr:col>
      <xdr:colOff>238125</xdr:colOff>
      <xdr:row>43</xdr:row>
      <xdr:rowOff>133350</xdr:rowOff>
    </xdr:to>
    <xdr:sp macro="" textlink="">
      <xdr:nvSpPr>
        <xdr:cNvPr id="38338" name="Line 18">
          <a:extLst>
            <a:ext uri="{FF2B5EF4-FFF2-40B4-BE49-F238E27FC236}">
              <a16:creationId xmlns:a16="http://schemas.microsoft.com/office/drawing/2014/main" id="{00000000-0008-0000-0700-0000C2950000}"/>
            </a:ext>
          </a:extLst>
        </xdr:cNvPr>
        <xdr:cNvSpPr>
          <a:spLocks noChangeShapeType="1"/>
        </xdr:cNvSpPr>
      </xdr:nvSpPr>
      <xdr:spPr bwMode="auto">
        <a:xfrm flipH="1" flipV="1">
          <a:off x="2628900" y="105537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45</xdr:row>
      <xdr:rowOff>114300</xdr:rowOff>
    </xdr:from>
    <xdr:to>
      <xdr:col>4</xdr:col>
      <xdr:colOff>247650</xdr:colOff>
      <xdr:row>45</xdr:row>
      <xdr:rowOff>114300</xdr:rowOff>
    </xdr:to>
    <xdr:sp macro="" textlink="">
      <xdr:nvSpPr>
        <xdr:cNvPr id="38339" name="Line 18">
          <a:extLst>
            <a:ext uri="{FF2B5EF4-FFF2-40B4-BE49-F238E27FC236}">
              <a16:creationId xmlns:a16="http://schemas.microsoft.com/office/drawing/2014/main" id="{00000000-0008-0000-0700-0000C3950000}"/>
            </a:ext>
          </a:extLst>
        </xdr:cNvPr>
        <xdr:cNvSpPr>
          <a:spLocks noChangeShapeType="1"/>
        </xdr:cNvSpPr>
      </xdr:nvSpPr>
      <xdr:spPr bwMode="auto">
        <a:xfrm flipH="1" flipV="1">
          <a:off x="2638425" y="109061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33</xdr:row>
      <xdr:rowOff>114300</xdr:rowOff>
    </xdr:from>
    <xdr:to>
      <xdr:col>4</xdr:col>
      <xdr:colOff>228600</xdr:colOff>
      <xdr:row>45</xdr:row>
      <xdr:rowOff>123825</xdr:rowOff>
    </xdr:to>
    <xdr:sp macro="" textlink="">
      <xdr:nvSpPr>
        <xdr:cNvPr id="38340" name="Line 18">
          <a:extLst>
            <a:ext uri="{FF2B5EF4-FFF2-40B4-BE49-F238E27FC236}">
              <a16:creationId xmlns:a16="http://schemas.microsoft.com/office/drawing/2014/main" id="{00000000-0008-0000-0700-0000C4950000}"/>
            </a:ext>
          </a:extLst>
        </xdr:cNvPr>
        <xdr:cNvSpPr>
          <a:spLocks noChangeShapeType="1"/>
        </xdr:cNvSpPr>
      </xdr:nvSpPr>
      <xdr:spPr bwMode="auto">
        <a:xfrm flipH="1">
          <a:off x="2857500" y="8448675"/>
          <a:ext cx="0" cy="2466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400050</xdr:colOff>
      <xdr:row>39</xdr:row>
      <xdr:rowOff>19050</xdr:rowOff>
    </xdr:from>
    <xdr:to>
      <xdr:col>19</xdr:col>
      <xdr:colOff>38100</xdr:colOff>
      <xdr:row>39</xdr:row>
      <xdr:rowOff>19050</xdr:rowOff>
    </xdr:to>
    <xdr:sp macro="" textlink="">
      <xdr:nvSpPr>
        <xdr:cNvPr id="38341" name="Line 18">
          <a:extLst>
            <a:ext uri="{FF2B5EF4-FFF2-40B4-BE49-F238E27FC236}">
              <a16:creationId xmlns:a16="http://schemas.microsoft.com/office/drawing/2014/main" id="{00000000-0008-0000-0700-0000C5950000}"/>
            </a:ext>
          </a:extLst>
        </xdr:cNvPr>
        <xdr:cNvSpPr>
          <a:spLocks noChangeShapeType="1"/>
        </xdr:cNvSpPr>
      </xdr:nvSpPr>
      <xdr:spPr bwMode="auto">
        <a:xfrm flipH="1" flipV="1">
          <a:off x="5886450" y="9696450"/>
          <a:ext cx="116205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33</xdr:row>
      <xdr:rowOff>200025</xdr:rowOff>
    </xdr:from>
    <xdr:to>
      <xdr:col>19</xdr:col>
      <xdr:colOff>38100</xdr:colOff>
      <xdr:row>45</xdr:row>
      <xdr:rowOff>152400</xdr:rowOff>
    </xdr:to>
    <xdr:sp macro="" textlink="">
      <xdr:nvSpPr>
        <xdr:cNvPr id="38342" name="Line 18">
          <a:extLst>
            <a:ext uri="{FF2B5EF4-FFF2-40B4-BE49-F238E27FC236}">
              <a16:creationId xmlns:a16="http://schemas.microsoft.com/office/drawing/2014/main" id="{00000000-0008-0000-0700-0000C6950000}"/>
            </a:ext>
          </a:extLst>
        </xdr:cNvPr>
        <xdr:cNvSpPr>
          <a:spLocks noChangeShapeType="1"/>
        </xdr:cNvSpPr>
      </xdr:nvSpPr>
      <xdr:spPr bwMode="auto">
        <a:xfrm>
          <a:off x="7048500" y="8534400"/>
          <a:ext cx="0" cy="24098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33</xdr:row>
      <xdr:rowOff>209550</xdr:rowOff>
    </xdr:from>
    <xdr:to>
      <xdr:col>19</xdr:col>
      <xdr:colOff>400050</xdr:colOff>
      <xdr:row>33</xdr:row>
      <xdr:rowOff>209550</xdr:rowOff>
    </xdr:to>
    <xdr:sp macro="" textlink="">
      <xdr:nvSpPr>
        <xdr:cNvPr id="38343" name="Line 18">
          <a:extLst>
            <a:ext uri="{FF2B5EF4-FFF2-40B4-BE49-F238E27FC236}">
              <a16:creationId xmlns:a16="http://schemas.microsoft.com/office/drawing/2014/main" id="{00000000-0008-0000-0700-0000C7950000}"/>
            </a:ext>
          </a:extLst>
        </xdr:cNvPr>
        <xdr:cNvSpPr>
          <a:spLocks noChangeShapeType="1"/>
        </xdr:cNvSpPr>
      </xdr:nvSpPr>
      <xdr:spPr bwMode="auto">
        <a:xfrm flipH="1" flipV="1">
          <a:off x="7067550" y="8543925"/>
          <a:ext cx="3429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37</xdr:row>
      <xdr:rowOff>161925</xdr:rowOff>
    </xdr:from>
    <xdr:to>
      <xdr:col>19</xdr:col>
      <xdr:colOff>390525</xdr:colOff>
      <xdr:row>37</xdr:row>
      <xdr:rowOff>161925</xdr:rowOff>
    </xdr:to>
    <xdr:sp macro="" textlink="">
      <xdr:nvSpPr>
        <xdr:cNvPr id="38344" name="Line 18">
          <a:extLst>
            <a:ext uri="{FF2B5EF4-FFF2-40B4-BE49-F238E27FC236}">
              <a16:creationId xmlns:a16="http://schemas.microsoft.com/office/drawing/2014/main" id="{00000000-0008-0000-0700-0000C8950000}"/>
            </a:ext>
          </a:extLst>
        </xdr:cNvPr>
        <xdr:cNvSpPr>
          <a:spLocks noChangeShapeType="1"/>
        </xdr:cNvSpPr>
      </xdr:nvSpPr>
      <xdr:spPr bwMode="auto">
        <a:xfrm flipH="1" flipV="1">
          <a:off x="7067550" y="9458325"/>
          <a:ext cx="33337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41</xdr:row>
      <xdr:rowOff>209550</xdr:rowOff>
    </xdr:from>
    <xdr:to>
      <xdr:col>19</xdr:col>
      <xdr:colOff>390525</xdr:colOff>
      <xdr:row>41</xdr:row>
      <xdr:rowOff>209550</xdr:rowOff>
    </xdr:to>
    <xdr:sp macro="" textlink="">
      <xdr:nvSpPr>
        <xdr:cNvPr id="38345" name="Line 18">
          <a:extLst>
            <a:ext uri="{FF2B5EF4-FFF2-40B4-BE49-F238E27FC236}">
              <a16:creationId xmlns:a16="http://schemas.microsoft.com/office/drawing/2014/main" id="{00000000-0008-0000-0700-0000C9950000}"/>
            </a:ext>
          </a:extLst>
        </xdr:cNvPr>
        <xdr:cNvSpPr>
          <a:spLocks noChangeShapeType="1"/>
        </xdr:cNvSpPr>
      </xdr:nvSpPr>
      <xdr:spPr bwMode="auto">
        <a:xfrm flipH="1" flipV="1">
          <a:off x="7067550" y="10258425"/>
          <a:ext cx="33337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45</xdr:row>
      <xdr:rowOff>142875</xdr:rowOff>
    </xdr:from>
    <xdr:to>
      <xdr:col>19</xdr:col>
      <xdr:colOff>400050</xdr:colOff>
      <xdr:row>45</xdr:row>
      <xdr:rowOff>142875</xdr:rowOff>
    </xdr:to>
    <xdr:sp macro="" textlink="">
      <xdr:nvSpPr>
        <xdr:cNvPr id="38346" name="Line 18">
          <a:extLst>
            <a:ext uri="{FF2B5EF4-FFF2-40B4-BE49-F238E27FC236}">
              <a16:creationId xmlns:a16="http://schemas.microsoft.com/office/drawing/2014/main" id="{00000000-0008-0000-0700-0000CA950000}"/>
            </a:ext>
          </a:extLst>
        </xdr:cNvPr>
        <xdr:cNvSpPr>
          <a:spLocks noChangeShapeType="1"/>
        </xdr:cNvSpPr>
      </xdr:nvSpPr>
      <xdr:spPr bwMode="auto">
        <a:xfrm flipH="1">
          <a:off x="7058025" y="10934700"/>
          <a:ext cx="3524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2657475</xdr:colOff>
      <xdr:row>35</xdr:row>
      <xdr:rowOff>190500</xdr:rowOff>
    </xdr:from>
    <xdr:to>
      <xdr:col>4</xdr:col>
      <xdr:colOff>228600</xdr:colOff>
      <xdr:row>35</xdr:row>
      <xdr:rowOff>190500</xdr:rowOff>
    </xdr:to>
    <xdr:sp macro="" textlink="">
      <xdr:nvSpPr>
        <xdr:cNvPr id="38347" name="Line 18">
          <a:extLst>
            <a:ext uri="{FF2B5EF4-FFF2-40B4-BE49-F238E27FC236}">
              <a16:creationId xmlns:a16="http://schemas.microsoft.com/office/drawing/2014/main" id="{00000000-0008-0000-0700-0000CB950000}"/>
            </a:ext>
          </a:extLst>
        </xdr:cNvPr>
        <xdr:cNvSpPr>
          <a:spLocks noChangeShapeType="1"/>
        </xdr:cNvSpPr>
      </xdr:nvSpPr>
      <xdr:spPr bwMode="auto">
        <a:xfrm flipH="1" flipV="1">
          <a:off x="2628900" y="9029700"/>
          <a:ext cx="2286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41</xdr:row>
      <xdr:rowOff>200025</xdr:rowOff>
    </xdr:from>
    <xdr:to>
      <xdr:col>4</xdr:col>
      <xdr:colOff>247650</xdr:colOff>
      <xdr:row>41</xdr:row>
      <xdr:rowOff>200025</xdr:rowOff>
    </xdr:to>
    <xdr:sp macro="" textlink="">
      <xdr:nvSpPr>
        <xdr:cNvPr id="38348" name="Line 18">
          <a:extLst>
            <a:ext uri="{FF2B5EF4-FFF2-40B4-BE49-F238E27FC236}">
              <a16:creationId xmlns:a16="http://schemas.microsoft.com/office/drawing/2014/main" id="{00000000-0008-0000-0700-0000CC950000}"/>
            </a:ext>
          </a:extLst>
        </xdr:cNvPr>
        <xdr:cNvSpPr>
          <a:spLocks noChangeShapeType="1"/>
        </xdr:cNvSpPr>
      </xdr:nvSpPr>
      <xdr:spPr bwMode="auto">
        <a:xfrm flipH="1" flipV="1">
          <a:off x="2638425" y="102489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entas%20ambientales/Ambientales%20Diego/Publicaci&#243;n%20Diego/Anexos-cta-ambienta-economica-del-agua-2016p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OFERTA_2014"/>
      <sheetName val="UTILIZACION_2014"/>
      <sheetName val="OFERTA_2015"/>
      <sheetName val="UTILIZACION_2015"/>
      <sheetName val="OFERTA_2016p"/>
      <sheetName val="UTILIZACION_2016p"/>
      <sheetName val="Tablas para Boletín"/>
      <sheetName val="Tablas para Boletín (2)"/>
      <sheetName val="I_Hidrica_pér_Cápita"/>
      <sheetName val="Productividad_Hídrica"/>
      <sheetName val="I_Hídrica"/>
      <sheetName val="Pro_hídrica_agricultura"/>
      <sheetName val="Grafico Boletín I"/>
      <sheetName val="Cuadro general"/>
    </sheetNames>
    <sheetDataSet>
      <sheetData sheetId="0"/>
      <sheetData sheetId="1">
        <row r="29">
          <cell r="AK29">
            <v>3138.5117944402564</v>
          </cell>
        </row>
        <row r="31">
          <cell r="K31">
            <v>32.66403989883073</v>
          </cell>
          <cell r="L31">
            <v>6.3297596770988918</v>
          </cell>
          <cell r="M31">
            <v>11.032620333930822</v>
          </cell>
          <cell r="N31">
            <v>3.3901776931762551</v>
          </cell>
          <cell r="O31">
            <v>1.4446642152920135</v>
          </cell>
          <cell r="P31">
            <v>54.24533297451147</v>
          </cell>
          <cell r="Q31">
            <v>0.6114399513038451</v>
          </cell>
          <cell r="R31">
            <v>7.591386447569958</v>
          </cell>
          <cell r="S31">
            <v>13.335728302794553</v>
          </cell>
          <cell r="T31">
            <v>35.269339123476769</v>
          </cell>
          <cell r="U31">
            <v>4.6155668732271167</v>
          </cell>
          <cell r="V31">
            <v>0.35908301815240173</v>
          </cell>
          <cell r="W31">
            <v>61.075848841647044</v>
          </cell>
          <cell r="X31">
            <v>0.37239124814527069</v>
          </cell>
          <cell r="Y31">
            <v>12.664052767314615</v>
          </cell>
          <cell r="Z31">
            <v>21.381391255557926</v>
          </cell>
          <cell r="AA31">
            <v>1.4039574602897269</v>
          </cell>
          <cell r="AB31">
            <v>5.3137044165708138</v>
          </cell>
          <cell r="AC31">
            <v>5.8522357320310761</v>
          </cell>
          <cell r="AD31">
            <v>0.71565997709653406</v>
          </cell>
          <cell r="AE31">
            <v>1.1319627737075435</v>
          </cell>
          <cell r="AF31">
            <v>0.79008671553525212</v>
          </cell>
          <cell r="AG31">
            <v>1.0431686258135315</v>
          </cell>
          <cell r="AH31">
            <v>1.7283908104230463</v>
          </cell>
          <cell r="BJ31">
            <v>2331.5875307381834</v>
          </cell>
        </row>
        <row r="33">
          <cell r="BM33">
            <v>232.60608700061067</v>
          </cell>
        </row>
      </sheetData>
      <sheetData sheetId="2">
        <row r="27">
          <cell r="K27">
            <v>15.905703334187447</v>
          </cell>
          <cell r="L27">
            <v>1.2197249824033034</v>
          </cell>
          <cell r="M27">
            <v>4.1426609686454237</v>
          </cell>
          <cell r="N27">
            <v>1.5878060309848216</v>
          </cell>
          <cell r="O27">
            <v>1.6066282466829267</v>
          </cell>
          <cell r="P27">
            <v>3.3289149994700513E-2</v>
          </cell>
          <cell r="Q27">
            <v>0.34490411064181148</v>
          </cell>
          <cell r="R27">
            <v>4.184342774774418</v>
          </cell>
          <cell r="S27">
            <v>9.1047487585470002</v>
          </cell>
          <cell r="T27">
            <v>8.4211260042528746</v>
          </cell>
          <cell r="U27">
            <v>0.69023536824524945</v>
          </cell>
          <cell r="V27">
            <v>0.50053762361351672</v>
          </cell>
          <cell r="W27">
            <v>1.3246232678410184</v>
          </cell>
          <cell r="X27">
            <v>0.33775300512418538</v>
          </cell>
          <cell r="Y27">
            <v>2.7747696727350339</v>
          </cell>
          <cell r="Z27">
            <v>10.846850034189895</v>
          </cell>
          <cell r="AA27">
            <v>2.0702947764789097</v>
          </cell>
          <cell r="AB27">
            <v>2.4515915086064459</v>
          </cell>
          <cell r="AC27">
            <v>2.2733627081704713</v>
          </cell>
          <cell r="AD27">
            <v>0.60485199602119299</v>
          </cell>
          <cell r="AE27">
            <v>0.86566187616851187</v>
          </cell>
          <cell r="AF27">
            <v>0.63211864151659236</v>
          </cell>
          <cell r="AG27">
            <v>0.32895435220130481</v>
          </cell>
          <cell r="AH27">
            <v>1.342669134462066</v>
          </cell>
        </row>
        <row r="29">
          <cell r="BJ29">
            <v>2385.9176060321051</v>
          </cell>
        </row>
      </sheetData>
      <sheetData sheetId="3">
        <row r="29">
          <cell r="AK29">
            <v>3200.4673594788655</v>
          </cell>
        </row>
        <row r="31">
          <cell r="K31">
            <v>34.250923599828681</v>
          </cell>
          <cell r="L31">
            <v>5.1594826628589612</v>
          </cell>
          <cell r="M31">
            <v>11.415535996820225</v>
          </cell>
          <cell r="N31">
            <v>3.7403210796374964</v>
          </cell>
          <cell r="O31">
            <v>1.7399667771377894</v>
          </cell>
          <cell r="P31">
            <v>50.769826970748859</v>
          </cell>
          <cell r="Q31">
            <v>0.60769639779677587</v>
          </cell>
          <cell r="R31">
            <v>7.6687332614708179</v>
          </cell>
          <cell r="S31">
            <v>13.881458107312081</v>
          </cell>
          <cell r="T31">
            <v>36.132705172590704</v>
          </cell>
          <cell r="U31">
            <v>3.7374332140374893</v>
          </cell>
          <cell r="V31">
            <v>0.31036521842902759</v>
          </cell>
          <cell r="W31">
            <v>59.960026999898894</v>
          </cell>
          <cell r="X31">
            <v>0.34094873441543194</v>
          </cell>
          <cell r="Y31">
            <v>17.066392432504692</v>
          </cell>
          <cell r="Z31">
            <v>20.168946584243116</v>
          </cell>
          <cell r="AA31">
            <v>1.3409479265049682</v>
          </cell>
          <cell r="AB31">
            <v>5.1363579817094838</v>
          </cell>
          <cell r="AC31">
            <v>6.4067145468425828</v>
          </cell>
          <cell r="AD31">
            <v>0.58459072674201384</v>
          </cell>
          <cell r="AE31">
            <v>1.0390844880452348</v>
          </cell>
          <cell r="AF31">
            <v>0.74163846967909164</v>
          </cell>
          <cell r="AG31">
            <v>0.28830502350445109</v>
          </cell>
          <cell r="AH31">
            <v>1.7095535181818526</v>
          </cell>
          <cell r="BJ31">
            <v>2381.482255512477</v>
          </cell>
        </row>
        <row r="33">
          <cell r="BM33">
            <v>230.79079235534786</v>
          </cell>
        </row>
      </sheetData>
      <sheetData sheetId="4">
        <row r="27">
          <cell r="K27">
            <v>12.16219684214453</v>
          </cell>
          <cell r="L27">
            <v>1.2427092991378295</v>
          </cell>
          <cell r="M27">
            <v>3.8651283007501727</v>
          </cell>
          <cell r="N27">
            <v>1.5848561497368314</v>
          </cell>
          <cell r="O27">
            <v>1.9719648390348763</v>
          </cell>
          <cell r="P27">
            <v>3.8359692528400477E-2</v>
          </cell>
          <cell r="Q27">
            <v>0.30419259055036585</v>
          </cell>
          <cell r="R27">
            <v>4.465578014135529</v>
          </cell>
          <cell r="S27">
            <v>9.4284749078167795</v>
          </cell>
          <cell r="T27">
            <v>8.0568808331302417</v>
          </cell>
          <cell r="U27">
            <v>0.71020151907115425</v>
          </cell>
          <cell r="V27">
            <v>0.42487002364054638</v>
          </cell>
          <cell r="W27">
            <v>1.4635084284137143</v>
          </cell>
          <cell r="X27">
            <v>0.29419447028582763</v>
          </cell>
          <cell r="Y27">
            <v>3.2126656629724697</v>
          </cell>
          <cell r="Z27">
            <v>10.351645436352442</v>
          </cell>
          <cell r="AA27">
            <v>2.0505105645933157</v>
          </cell>
          <cell r="AB27">
            <v>2.6950759694250062</v>
          </cell>
          <cell r="AC27">
            <v>3.0588946837160291</v>
          </cell>
          <cell r="AD27">
            <v>0.54937679009141849</v>
          </cell>
          <cell r="AE27">
            <v>0.8071043445849706</v>
          </cell>
          <cell r="AF27">
            <v>0.57448135831103053</v>
          </cell>
          <cell r="AG27">
            <v>0.24527463929219531</v>
          </cell>
          <cell r="AH27">
            <v>1.271547025391226</v>
          </cell>
        </row>
        <row r="29">
          <cell r="BJ29">
            <v>2436.9749653281651</v>
          </cell>
        </row>
      </sheetData>
      <sheetData sheetId="5">
        <row r="29">
          <cell r="AK29">
            <v>3128.5851102366869</v>
          </cell>
        </row>
        <row r="31">
          <cell r="K31">
            <v>34.027923558113685</v>
          </cell>
          <cell r="L31">
            <v>4.7262860818517378</v>
          </cell>
          <cell r="M31">
            <v>10.034942165677379</v>
          </cell>
          <cell r="N31">
            <v>3.3715125353169917</v>
          </cell>
          <cell r="O31">
            <v>1.6432680295182047</v>
          </cell>
          <cell r="P31">
            <v>42.702088659902607</v>
          </cell>
          <cell r="Q31">
            <v>0.7291301938753052</v>
          </cell>
          <cell r="R31">
            <v>7.7500541548004023</v>
          </cell>
          <cell r="S31">
            <v>13.699780394530588</v>
          </cell>
          <cell r="T31">
            <v>29.810449354653741</v>
          </cell>
          <cell r="U31">
            <v>19.79416863240445</v>
          </cell>
          <cell r="V31">
            <v>0.31812648772735685</v>
          </cell>
          <cell r="W31">
            <v>60.041310700068095</v>
          </cell>
          <cell r="X31">
            <v>0.28608459052778479</v>
          </cell>
          <cell r="Y31">
            <v>13.617568338811427</v>
          </cell>
          <cell r="Z31">
            <v>20.801245761122377</v>
          </cell>
          <cell r="AA31">
            <v>1.3446162708430895</v>
          </cell>
          <cell r="AB31">
            <v>4.2602138039502302</v>
          </cell>
          <cell r="AC31">
            <v>11.944674116917028</v>
          </cell>
          <cell r="AD31">
            <v>0.62901274922557171</v>
          </cell>
          <cell r="AE31">
            <v>0.96487600568800314</v>
          </cell>
          <cell r="AF31">
            <v>0.65279548119439279</v>
          </cell>
          <cell r="AG31">
            <v>0.29791300328658038</v>
          </cell>
          <cell r="AH31">
            <v>1.9230548084267314</v>
          </cell>
          <cell r="BJ31">
            <v>2240.038843984189</v>
          </cell>
        </row>
        <row r="33">
          <cell r="BM33">
            <v>238.6235331576091</v>
          </cell>
        </row>
      </sheetData>
      <sheetData sheetId="6">
        <row r="27">
          <cell r="K27">
            <v>12.663522536637446</v>
          </cell>
          <cell r="L27">
            <v>1.2074842470127309</v>
          </cell>
          <cell r="M27">
            <v>3.3334677102821333</v>
          </cell>
          <cell r="N27">
            <v>1.6582245704096128</v>
          </cell>
          <cell r="O27">
            <v>2.0190533677213054</v>
          </cell>
          <cell r="P27">
            <v>3.5078493351786047E-2</v>
          </cell>
          <cell r="Q27">
            <v>0.30572231762086494</v>
          </cell>
          <cell r="R27">
            <v>3.6265456844462807</v>
          </cell>
          <cell r="S27">
            <v>8.5301780942490506</v>
          </cell>
          <cell r="T27">
            <v>8.191265950533241</v>
          </cell>
          <cell r="U27">
            <v>0.74488051137447242</v>
          </cell>
          <cell r="V27">
            <v>0.31745832690979381</v>
          </cell>
          <cell r="W27">
            <v>1.471460563105643</v>
          </cell>
          <cell r="X27">
            <v>0.26337774131399039</v>
          </cell>
          <cell r="Y27">
            <v>7.6972479173144048</v>
          </cell>
          <cell r="Z27">
            <v>10.059329532954353</v>
          </cell>
          <cell r="AA27">
            <v>1.9423892244308427</v>
          </cell>
          <cell r="AB27">
            <v>2.7372824812191037</v>
          </cell>
          <cell r="AC27">
            <v>2.6871862954589334</v>
          </cell>
          <cell r="AD27">
            <v>0.52588201109924804</v>
          </cell>
          <cell r="AE27">
            <v>0.66206175404569556</v>
          </cell>
          <cell r="AF27">
            <v>0.47180889293856126</v>
          </cell>
          <cell r="AG27">
            <v>0.23381581575176275</v>
          </cell>
          <cell r="AH27">
            <v>1.5805334985600652</v>
          </cell>
        </row>
        <row r="29">
          <cell r="BJ29">
            <v>2292.2356744486406</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6:L37"/>
  <sheetViews>
    <sheetView showGridLines="0" showRowColHeaders="0" zoomScaleNormal="100" workbookViewId="0"/>
  </sheetViews>
  <sheetFormatPr defaultColWidth="9.33203125" defaultRowHeight="12.75" x14ac:dyDescent="0.2"/>
  <cols>
    <col min="1" max="1" width="2" customWidth="1"/>
    <col min="2" max="2" width="23.6640625" customWidth="1"/>
    <col min="3" max="3" width="32.5" customWidth="1"/>
    <col min="4" max="10" width="9.33203125" customWidth="1"/>
    <col min="11" max="11" width="6" customWidth="1"/>
    <col min="12" max="12" width="6.5" style="89" customWidth="1"/>
  </cols>
  <sheetData>
    <row r="6" spans="1:12" ht="22.5" customHeight="1" x14ac:dyDescent="0.2">
      <c r="B6" s="100" t="s">
        <v>382</v>
      </c>
    </row>
    <row r="7" spans="1:12" ht="24.75" customHeight="1" x14ac:dyDescent="0.2">
      <c r="B7" s="704" t="s">
        <v>670</v>
      </c>
      <c r="C7" s="704"/>
      <c r="D7" s="704"/>
      <c r="E7" s="704"/>
      <c r="F7" s="704"/>
      <c r="G7" s="704"/>
      <c r="H7" s="704"/>
      <c r="I7" s="704"/>
      <c r="J7" s="704"/>
      <c r="K7" s="704"/>
      <c r="L7" s="90"/>
    </row>
    <row r="8" spans="1:12" ht="24.75" customHeight="1" x14ac:dyDescent="0.3">
      <c r="B8" s="705" t="s">
        <v>570</v>
      </c>
      <c r="C8" s="705"/>
      <c r="D8" s="705"/>
      <c r="E8" s="705"/>
      <c r="F8" s="705"/>
      <c r="G8" s="705"/>
      <c r="H8" s="705"/>
      <c r="I8" s="705"/>
      <c r="J8" s="705"/>
      <c r="K8" s="705"/>
      <c r="L8" s="90"/>
    </row>
    <row r="10" spans="1:12" ht="18" x14ac:dyDescent="0.25">
      <c r="B10" s="124" t="s">
        <v>393</v>
      </c>
      <c r="C10" s="122"/>
      <c r="D10" s="3"/>
    </row>
    <row r="11" spans="1:12" ht="10.5" customHeight="1" x14ac:dyDescent="0.3">
      <c r="B11" s="4"/>
      <c r="C11" s="3"/>
      <c r="D11" s="3"/>
    </row>
    <row r="12" spans="1:12" s="22" customFormat="1" ht="16.5" customHeight="1" x14ac:dyDescent="0.25">
      <c r="A12" s="17"/>
      <c r="B12" s="706" t="s">
        <v>148</v>
      </c>
      <c r="C12" s="707"/>
      <c r="D12" s="707"/>
      <c r="E12" s="707"/>
      <c r="F12" s="707"/>
      <c r="G12" s="707"/>
      <c r="H12" s="707"/>
      <c r="I12" s="707"/>
      <c r="J12" s="707"/>
      <c r="K12" s="707"/>
      <c r="L12" s="89"/>
    </row>
    <row r="13" spans="1:12" ht="10.5" customHeight="1" x14ac:dyDescent="0.25">
      <c r="B13" s="118"/>
      <c r="C13" s="119"/>
      <c r="D13" s="118"/>
      <c r="E13" s="47"/>
      <c r="F13" s="118"/>
      <c r="G13" s="43"/>
      <c r="H13" s="43"/>
      <c r="I13" s="43"/>
      <c r="J13" s="43"/>
      <c r="K13" s="43"/>
    </row>
    <row r="14" spans="1:12" ht="15.75" customHeight="1" x14ac:dyDescent="0.25">
      <c r="B14" s="120" t="s">
        <v>149</v>
      </c>
      <c r="C14" s="708" t="s">
        <v>391</v>
      </c>
      <c r="D14" s="709"/>
      <c r="E14" s="709"/>
      <c r="F14" s="709"/>
      <c r="G14" s="709"/>
      <c r="H14" s="709"/>
      <c r="I14" s="709"/>
      <c r="J14" s="709"/>
      <c r="K14" s="710"/>
    </row>
    <row r="15" spans="1:12" ht="7.5" customHeight="1" x14ac:dyDescent="0.25">
      <c r="B15" s="121"/>
      <c r="C15" s="700"/>
      <c r="D15" s="701"/>
      <c r="E15" s="701"/>
      <c r="F15" s="701"/>
      <c r="G15" s="701"/>
      <c r="H15" s="701"/>
      <c r="I15" s="701"/>
      <c r="J15" s="701"/>
      <c r="K15" s="702"/>
    </row>
    <row r="16" spans="1:12" ht="15.75" customHeight="1" x14ac:dyDescent="0.25">
      <c r="B16" s="121" t="s">
        <v>150</v>
      </c>
      <c r="C16" s="700" t="s">
        <v>157</v>
      </c>
      <c r="D16" s="701"/>
      <c r="E16" s="701"/>
      <c r="F16" s="701"/>
      <c r="G16" s="701"/>
      <c r="H16" s="701"/>
      <c r="I16" s="701"/>
      <c r="J16" s="701"/>
      <c r="K16" s="702"/>
    </row>
    <row r="17" spans="2:12" ht="7.5" customHeight="1" x14ac:dyDescent="0.25">
      <c r="B17" s="121"/>
      <c r="C17" s="700"/>
      <c r="D17" s="701"/>
      <c r="E17" s="701"/>
      <c r="F17" s="701"/>
      <c r="G17" s="701"/>
      <c r="H17" s="701"/>
      <c r="I17" s="701"/>
      <c r="J17" s="701"/>
      <c r="K17" s="702"/>
    </row>
    <row r="18" spans="2:12" ht="15.75" customHeight="1" x14ac:dyDescent="0.25">
      <c r="B18" s="121" t="s">
        <v>151</v>
      </c>
      <c r="C18" s="700" t="s">
        <v>158</v>
      </c>
      <c r="D18" s="703"/>
      <c r="E18" s="703"/>
      <c r="F18" s="703"/>
      <c r="G18" s="703"/>
      <c r="H18" s="703"/>
      <c r="I18" s="703"/>
      <c r="J18" s="703"/>
      <c r="K18" s="703"/>
      <c r="L18" s="89" t="s">
        <v>460</v>
      </c>
    </row>
    <row r="19" spans="2:12" ht="7.5" customHeight="1" x14ac:dyDescent="0.25">
      <c r="B19" s="121"/>
      <c r="C19" s="700"/>
      <c r="D19" s="701"/>
      <c r="E19" s="701"/>
      <c r="F19" s="701"/>
      <c r="G19" s="701"/>
      <c r="H19" s="701"/>
      <c r="I19" s="701"/>
      <c r="J19" s="701"/>
      <c r="K19" s="702"/>
    </row>
    <row r="20" spans="2:12" ht="15.75" customHeight="1" x14ac:dyDescent="0.25">
      <c r="B20" s="121" t="s">
        <v>152</v>
      </c>
      <c r="C20" s="700" t="s">
        <v>74</v>
      </c>
      <c r="D20" s="703"/>
      <c r="E20" s="703"/>
      <c r="F20" s="703"/>
      <c r="G20" s="703"/>
      <c r="H20" s="703"/>
      <c r="I20" s="703"/>
      <c r="J20" s="703"/>
      <c r="K20" s="703"/>
      <c r="L20" s="89" t="s">
        <v>204</v>
      </c>
    </row>
    <row r="21" spans="2:12" ht="7.5" customHeight="1" x14ac:dyDescent="0.25">
      <c r="B21" s="121"/>
      <c r="C21" s="700"/>
      <c r="D21" s="712"/>
      <c r="E21" s="712"/>
      <c r="F21" s="712"/>
      <c r="G21" s="712"/>
      <c r="H21" s="712"/>
      <c r="I21" s="712"/>
      <c r="J21" s="712"/>
      <c r="K21" s="713"/>
    </row>
    <row r="22" spans="2:12" ht="15.75" customHeight="1" x14ac:dyDescent="0.25">
      <c r="B22" s="121" t="s">
        <v>153</v>
      </c>
      <c r="C22" s="700" t="s">
        <v>160</v>
      </c>
      <c r="D22" s="715"/>
      <c r="E22" s="715"/>
      <c r="F22" s="715"/>
      <c r="G22" s="715"/>
      <c r="H22" s="715"/>
      <c r="I22" s="715"/>
      <c r="J22" s="715"/>
      <c r="K22" s="715"/>
      <c r="L22" s="89" t="s">
        <v>463</v>
      </c>
    </row>
    <row r="23" spans="2:12" ht="7.5" customHeight="1" x14ac:dyDescent="0.25">
      <c r="B23" s="121"/>
      <c r="C23" s="700"/>
      <c r="D23" s="712"/>
      <c r="E23" s="712"/>
      <c r="F23" s="712"/>
      <c r="G23" s="712"/>
      <c r="H23" s="712"/>
      <c r="I23" s="712"/>
      <c r="J23" s="712"/>
      <c r="K23" s="713"/>
    </row>
    <row r="24" spans="2:12" ht="15.75" customHeight="1" x14ac:dyDescent="0.25">
      <c r="B24" s="121" t="s">
        <v>154</v>
      </c>
      <c r="C24" s="700" t="s">
        <v>161</v>
      </c>
      <c r="D24" s="712"/>
      <c r="E24" s="712"/>
      <c r="F24" s="712"/>
      <c r="G24" s="712"/>
      <c r="H24" s="712"/>
      <c r="I24" s="712"/>
      <c r="J24" s="712"/>
      <c r="K24" s="713"/>
      <c r="L24" s="89" t="s">
        <v>430</v>
      </c>
    </row>
    <row r="25" spans="2:12" ht="7.5" customHeight="1" x14ac:dyDescent="0.25">
      <c r="B25" s="121"/>
      <c r="C25" s="700"/>
      <c r="D25" s="712"/>
      <c r="E25" s="712"/>
      <c r="F25" s="712"/>
      <c r="G25" s="712"/>
      <c r="H25" s="712"/>
      <c r="I25" s="712"/>
      <c r="J25" s="712"/>
      <c r="K25" s="713"/>
    </row>
    <row r="26" spans="2:12" ht="15.75" customHeight="1" x14ac:dyDescent="0.25">
      <c r="B26" s="121" t="s">
        <v>155</v>
      </c>
      <c r="C26" s="714" t="s">
        <v>162</v>
      </c>
      <c r="D26" s="714"/>
      <c r="E26" s="714"/>
      <c r="F26" s="714"/>
      <c r="G26" s="714"/>
      <c r="H26" s="714"/>
      <c r="I26" s="714"/>
      <c r="J26" s="714"/>
      <c r="K26" s="714"/>
      <c r="L26" s="89" t="s">
        <v>464</v>
      </c>
    </row>
    <row r="27" spans="2:12" ht="7.5" customHeight="1" x14ac:dyDescent="0.25">
      <c r="B27" s="121"/>
      <c r="C27" s="700"/>
      <c r="D27" s="712"/>
      <c r="E27" s="712"/>
      <c r="F27" s="712"/>
      <c r="G27" s="712"/>
      <c r="H27" s="712"/>
      <c r="I27" s="712"/>
      <c r="J27" s="712"/>
      <c r="K27" s="713"/>
    </row>
    <row r="28" spans="2:12" ht="15.75" customHeight="1" x14ac:dyDescent="0.25">
      <c r="B28" s="123" t="s">
        <v>156</v>
      </c>
      <c r="C28" s="711" t="s">
        <v>163</v>
      </c>
      <c r="D28" s="711"/>
      <c r="E28" s="711"/>
      <c r="F28" s="711"/>
      <c r="G28" s="711"/>
      <c r="H28" s="711"/>
      <c r="I28" s="711"/>
      <c r="J28" s="711"/>
      <c r="K28" s="711"/>
    </row>
    <row r="29" spans="2:12" ht="27" customHeight="1" x14ac:dyDescent="0.2"/>
    <row r="30" spans="2:12" ht="27.75" customHeight="1" x14ac:dyDescent="0.2"/>
    <row r="31" spans="2:12" ht="27.75" customHeight="1" x14ac:dyDescent="0.2"/>
    <row r="32" spans="2:12" ht="30.75" customHeight="1" x14ac:dyDescent="0.2"/>
    <row r="33" spans="2:4" ht="26.25" customHeight="1" x14ac:dyDescent="0.2"/>
    <row r="34" spans="2:4" ht="32.25" customHeight="1" x14ac:dyDescent="0.2"/>
    <row r="35" spans="2:4" ht="40.5" customHeight="1" x14ac:dyDescent="0.2"/>
    <row r="36" spans="2:4" ht="28.5" customHeight="1" x14ac:dyDescent="0.2"/>
    <row r="37" spans="2:4" x14ac:dyDescent="0.2">
      <c r="B37" s="3"/>
      <c r="C37" s="3"/>
      <c r="D37" s="3"/>
    </row>
  </sheetData>
  <sheetProtection sheet="1"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honeticPr fontId="10" type="noConversion"/>
  <printOptions horizontalCentered="1"/>
  <pageMargins left="0.5" right="0.5" top="0.75" bottom="0.75"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autoPageBreaks="0" fitToPage="1"/>
  </sheetPr>
  <dimension ref="B1:R24"/>
  <sheetViews>
    <sheetView showGridLines="0" zoomScaleNormal="100" zoomScaleSheetLayoutView="85" workbookViewId="0">
      <selection activeCell="B4" sqref="B4"/>
    </sheetView>
  </sheetViews>
  <sheetFormatPr defaultColWidth="9.33203125" defaultRowHeight="12.75" x14ac:dyDescent="0.2"/>
  <cols>
    <col min="1" max="1" width="6.6640625" customWidth="1"/>
    <col min="2" max="2" width="12.33203125" style="31" customWidth="1"/>
    <col min="3" max="3" width="9.33203125" style="31" customWidth="1"/>
    <col min="4" max="4" width="13.5" customWidth="1"/>
    <col min="5" max="7" width="9.33203125" customWidth="1"/>
    <col min="8" max="8" width="8.5" customWidth="1"/>
    <col min="9" max="10" width="9.33203125" customWidth="1"/>
    <col min="11" max="11" width="20.5" customWidth="1"/>
    <col min="12" max="12" width="9.33203125" customWidth="1"/>
    <col min="13" max="13" width="7.6640625" customWidth="1"/>
    <col min="14" max="15" width="9.33203125" customWidth="1"/>
    <col min="16" max="16" width="16" customWidth="1"/>
    <col min="17" max="17" width="9.33203125" customWidth="1"/>
    <col min="18" max="18" width="1.83203125" customWidth="1"/>
    <col min="19" max="20" width="9.33203125" customWidth="1"/>
    <col min="21" max="21" width="1.83203125" customWidth="1"/>
  </cols>
  <sheetData>
    <row r="1" spans="2:18" s="16" customFormat="1" ht="15.75" x14ac:dyDescent="0.25">
      <c r="B1" s="34"/>
      <c r="C1" s="35" t="s">
        <v>395</v>
      </c>
      <c r="D1" s="23"/>
      <c r="E1" s="23"/>
      <c r="F1" s="23"/>
      <c r="G1" s="24"/>
      <c r="H1" s="24"/>
      <c r="I1" s="24"/>
      <c r="J1" s="25"/>
      <c r="K1" s="25"/>
      <c r="L1" s="25"/>
      <c r="M1" s="24"/>
      <c r="N1" s="24"/>
      <c r="O1" s="24"/>
      <c r="P1" s="24"/>
    </row>
    <row r="2" spans="2:18" ht="6.75" customHeight="1" x14ac:dyDescent="0.2">
      <c r="D2" s="1"/>
      <c r="E2" s="1"/>
      <c r="F2" s="1"/>
      <c r="G2" s="2"/>
      <c r="H2" s="2"/>
      <c r="I2" s="2"/>
      <c r="M2" s="2"/>
      <c r="N2" s="2"/>
      <c r="O2" s="2"/>
      <c r="P2" s="2"/>
    </row>
    <row r="3" spans="2:18" s="32" customFormat="1" ht="15" x14ac:dyDescent="0.25">
      <c r="B3" s="32">
        <v>170</v>
      </c>
      <c r="C3" s="27" t="s">
        <v>518</v>
      </c>
      <c r="D3" s="28" t="s">
        <v>248</v>
      </c>
      <c r="E3" s="28"/>
      <c r="F3" s="27"/>
      <c r="G3" s="27"/>
      <c r="H3" s="30"/>
      <c r="K3" s="29" t="s">
        <v>519</v>
      </c>
      <c r="L3" s="30"/>
      <c r="M3" s="30"/>
      <c r="N3" s="30"/>
      <c r="O3" s="27"/>
      <c r="P3" s="33"/>
      <c r="Q3" s="33"/>
      <c r="R3" s="33"/>
    </row>
    <row r="4" spans="2:18" ht="7.5" customHeight="1" x14ac:dyDescent="0.2">
      <c r="C4" s="44"/>
      <c r="D4" s="7"/>
      <c r="E4" s="7"/>
      <c r="F4" s="7"/>
      <c r="G4" s="5"/>
      <c r="H4" s="5"/>
      <c r="I4" s="5"/>
      <c r="J4" s="6"/>
      <c r="K4" s="6"/>
      <c r="L4" s="6"/>
      <c r="M4" s="5"/>
      <c r="N4" s="5"/>
      <c r="O4" s="5"/>
      <c r="P4" s="5"/>
    </row>
    <row r="5" spans="2:18" s="16" customFormat="1" ht="17.25" customHeight="1" x14ac:dyDescent="0.25">
      <c r="B5" s="34"/>
      <c r="C5" s="895" t="s">
        <v>19</v>
      </c>
      <c r="D5" s="896"/>
      <c r="E5" s="896"/>
      <c r="F5" s="896"/>
      <c r="G5" s="896"/>
      <c r="H5" s="896"/>
      <c r="I5" s="896"/>
      <c r="J5" s="896"/>
      <c r="K5" s="896"/>
      <c r="L5" s="896"/>
      <c r="M5" s="896"/>
      <c r="N5" s="26"/>
      <c r="O5" s="26"/>
      <c r="P5" s="26"/>
    </row>
    <row r="6" spans="2:18" ht="9.75" customHeight="1" x14ac:dyDescent="0.2"/>
    <row r="7" spans="2:18" ht="17.25" customHeight="1" x14ac:dyDescent="0.2">
      <c r="C7" s="897" t="s">
        <v>69</v>
      </c>
      <c r="D7" s="898"/>
      <c r="E7" s="898"/>
      <c r="F7" s="898"/>
      <c r="G7" s="898"/>
      <c r="H7" s="898"/>
      <c r="I7" s="898"/>
      <c r="J7" s="898"/>
      <c r="K7" s="898"/>
      <c r="L7" s="898"/>
      <c r="M7" s="898"/>
      <c r="N7" s="898"/>
      <c r="O7" s="898"/>
      <c r="P7" s="899"/>
    </row>
    <row r="8" spans="2:18" ht="25.5" customHeight="1" x14ac:dyDescent="0.2">
      <c r="C8" s="903"/>
      <c r="D8" s="904"/>
      <c r="E8" s="904"/>
      <c r="F8" s="904"/>
      <c r="G8" s="904"/>
      <c r="H8" s="904"/>
      <c r="I8" s="904"/>
      <c r="J8" s="904"/>
      <c r="K8" s="904"/>
      <c r="L8" s="904"/>
      <c r="M8" s="904"/>
      <c r="N8" s="904"/>
      <c r="O8" s="904"/>
      <c r="P8" s="905"/>
    </row>
    <row r="9" spans="2:18" ht="39" customHeight="1" x14ac:dyDescent="0.2">
      <c r="C9" s="900" t="s">
        <v>70</v>
      </c>
      <c r="D9" s="901"/>
      <c r="E9" s="901"/>
      <c r="F9" s="901"/>
      <c r="G9" s="901"/>
      <c r="H9" s="901"/>
      <c r="I9" s="901"/>
      <c r="J9" s="901"/>
      <c r="K9" s="901"/>
      <c r="L9" s="901"/>
      <c r="M9" s="901"/>
      <c r="N9" s="901"/>
      <c r="O9" s="901"/>
      <c r="P9" s="902"/>
    </row>
    <row r="10" spans="2:18" ht="15" customHeight="1" x14ac:dyDescent="0.2">
      <c r="C10" s="890"/>
      <c r="D10" s="891"/>
      <c r="E10" s="891"/>
      <c r="F10" s="891"/>
      <c r="G10" s="891"/>
      <c r="H10" s="891"/>
      <c r="I10" s="891"/>
      <c r="J10" s="891"/>
      <c r="K10" s="891"/>
      <c r="L10" s="891"/>
      <c r="M10" s="891"/>
      <c r="N10" s="891"/>
      <c r="O10" s="891"/>
      <c r="P10" s="892"/>
    </row>
    <row r="11" spans="2:18" ht="15" customHeight="1" x14ac:dyDescent="0.2">
      <c r="C11" s="890"/>
      <c r="D11" s="891"/>
      <c r="E11" s="891"/>
      <c r="F11" s="891"/>
      <c r="G11" s="891"/>
      <c r="H11" s="891"/>
      <c r="I11" s="891"/>
      <c r="J11" s="891"/>
      <c r="K11" s="891"/>
      <c r="L11" s="891"/>
      <c r="M11" s="891"/>
      <c r="N11" s="891"/>
      <c r="O11" s="891"/>
      <c r="P11" s="892"/>
    </row>
    <row r="12" spans="2:18" ht="15" customHeight="1" x14ac:dyDescent="0.2">
      <c r="C12" s="890"/>
      <c r="D12" s="891"/>
      <c r="E12" s="891"/>
      <c r="F12" s="891"/>
      <c r="G12" s="891"/>
      <c r="H12" s="891"/>
      <c r="I12" s="891"/>
      <c r="J12" s="891"/>
      <c r="K12" s="891"/>
      <c r="L12" s="891"/>
      <c r="M12" s="891"/>
      <c r="N12" s="891"/>
      <c r="O12" s="891"/>
      <c r="P12" s="892"/>
    </row>
    <row r="13" spans="2:18" ht="15" customHeight="1" x14ac:dyDescent="0.2">
      <c r="C13" s="890"/>
      <c r="D13" s="893"/>
      <c r="E13" s="893"/>
      <c r="F13" s="893"/>
      <c r="G13" s="893"/>
      <c r="H13" s="893"/>
      <c r="I13" s="893"/>
      <c r="J13" s="893"/>
      <c r="K13" s="893"/>
      <c r="L13" s="893"/>
      <c r="M13" s="893"/>
      <c r="N13" s="893"/>
      <c r="O13" s="893"/>
      <c r="P13" s="894"/>
    </row>
    <row r="14" spans="2:18" ht="15" customHeight="1" x14ac:dyDescent="0.2">
      <c r="C14" s="890"/>
      <c r="D14" s="891"/>
      <c r="E14" s="891"/>
      <c r="F14" s="891"/>
      <c r="G14" s="891"/>
      <c r="H14" s="891"/>
      <c r="I14" s="891"/>
      <c r="J14" s="891"/>
      <c r="K14" s="891"/>
      <c r="L14" s="891"/>
      <c r="M14" s="891"/>
      <c r="N14" s="891"/>
      <c r="O14" s="891"/>
      <c r="P14" s="892"/>
    </row>
    <row r="15" spans="2:18" ht="15" customHeight="1" x14ac:dyDescent="0.2">
      <c r="C15" s="890"/>
      <c r="D15" s="891"/>
      <c r="E15" s="891"/>
      <c r="F15" s="891"/>
      <c r="G15" s="891"/>
      <c r="H15" s="891"/>
      <c r="I15" s="891"/>
      <c r="J15" s="891"/>
      <c r="K15" s="891"/>
      <c r="L15" s="891"/>
      <c r="M15" s="891"/>
      <c r="N15" s="891"/>
      <c r="O15" s="891"/>
      <c r="P15" s="892"/>
    </row>
    <row r="16" spans="2:18" ht="15" customHeight="1" x14ac:dyDescent="0.2">
      <c r="C16" s="890"/>
      <c r="D16" s="891"/>
      <c r="E16" s="891"/>
      <c r="F16" s="891"/>
      <c r="G16" s="891"/>
      <c r="H16" s="891"/>
      <c r="I16" s="891"/>
      <c r="J16" s="891"/>
      <c r="K16" s="891"/>
      <c r="L16" s="891"/>
      <c r="M16" s="891"/>
      <c r="N16" s="891"/>
      <c r="O16" s="891"/>
      <c r="P16" s="892"/>
    </row>
    <row r="17" spans="3:16" ht="15" customHeight="1" x14ac:dyDescent="0.2">
      <c r="C17" s="890"/>
      <c r="D17" s="893"/>
      <c r="E17" s="893"/>
      <c r="F17" s="893"/>
      <c r="G17" s="893"/>
      <c r="H17" s="893"/>
      <c r="I17" s="893"/>
      <c r="J17" s="893"/>
      <c r="K17" s="893"/>
      <c r="L17" s="893"/>
      <c r="M17" s="893"/>
      <c r="N17" s="893"/>
      <c r="O17" s="893"/>
      <c r="P17" s="894"/>
    </row>
    <row r="18" spans="3:16" ht="15" customHeight="1" x14ac:dyDescent="0.2">
      <c r="C18" s="890"/>
      <c r="D18" s="893"/>
      <c r="E18" s="893"/>
      <c r="F18" s="893"/>
      <c r="G18" s="893"/>
      <c r="H18" s="893"/>
      <c r="I18" s="893"/>
      <c r="J18" s="893"/>
      <c r="K18" s="893"/>
      <c r="L18" s="893"/>
      <c r="M18" s="893"/>
      <c r="N18" s="893"/>
      <c r="O18" s="893"/>
      <c r="P18" s="894"/>
    </row>
    <row r="19" spans="3:16" ht="15" customHeight="1" x14ac:dyDescent="0.2">
      <c r="C19" s="897" t="s">
        <v>71</v>
      </c>
      <c r="D19" s="898"/>
      <c r="E19" s="898"/>
      <c r="F19" s="898"/>
      <c r="G19" s="898"/>
      <c r="H19" s="898"/>
      <c r="I19" s="898"/>
      <c r="J19" s="898"/>
      <c r="K19" s="898"/>
      <c r="L19" s="898"/>
      <c r="M19" s="898"/>
      <c r="N19" s="898"/>
      <c r="O19" s="898"/>
      <c r="P19" s="899"/>
    </row>
    <row r="20" spans="3:16" ht="15" customHeight="1" x14ac:dyDescent="0.2">
      <c r="C20" s="890"/>
      <c r="D20" s="906"/>
      <c r="E20" s="906"/>
      <c r="F20" s="906"/>
      <c r="G20" s="906"/>
      <c r="H20" s="906"/>
      <c r="I20" s="906"/>
      <c r="J20" s="906"/>
      <c r="K20" s="906"/>
      <c r="L20" s="906"/>
      <c r="M20" s="906"/>
      <c r="N20" s="906"/>
      <c r="O20" s="906"/>
      <c r="P20" s="907"/>
    </row>
    <row r="21" spans="3:16" ht="15" customHeight="1" x14ac:dyDescent="0.2">
      <c r="C21" s="890"/>
      <c r="D21" s="906"/>
      <c r="E21" s="906"/>
      <c r="F21" s="906"/>
      <c r="G21" s="906"/>
      <c r="H21" s="906"/>
      <c r="I21" s="906"/>
      <c r="J21" s="906"/>
      <c r="K21" s="906"/>
      <c r="L21" s="906"/>
      <c r="M21" s="906"/>
      <c r="N21" s="906"/>
      <c r="O21" s="906"/>
      <c r="P21" s="907"/>
    </row>
    <row r="22" spans="3:16" ht="15" customHeight="1" x14ac:dyDescent="0.2">
      <c r="C22" s="890"/>
      <c r="D22" s="906"/>
      <c r="E22" s="906"/>
      <c r="F22" s="906"/>
      <c r="G22" s="906"/>
      <c r="H22" s="906"/>
      <c r="I22" s="906"/>
      <c r="J22" s="906"/>
      <c r="K22" s="906"/>
      <c r="L22" s="906"/>
      <c r="M22" s="906"/>
      <c r="N22" s="906"/>
      <c r="O22" s="906"/>
      <c r="P22" s="907"/>
    </row>
    <row r="23" spans="3:16" ht="15" customHeight="1" x14ac:dyDescent="0.2">
      <c r="C23" s="890"/>
      <c r="D23" s="906"/>
      <c r="E23" s="906"/>
      <c r="F23" s="906"/>
      <c r="G23" s="906"/>
      <c r="H23" s="906"/>
      <c r="I23" s="906"/>
      <c r="J23" s="906"/>
      <c r="K23" s="906"/>
      <c r="L23" s="906"/>
      <c r="M23" s="906"/>
      <c r="N23" s="906"/>
      <c r="O23" s="906"/>
      <c r="P23" s="907"/>
    </row>
    <row r="24" spans="3:16" ht="15" customHeight="1" x14ac:dyDescent="0.2">
      <c r="C24" s="908"/>
      <c r="D24" s="909"/>
      <c r="E24" s="909"/>
      <c r="F24" s="909"/>
      <c r="G24" s="909"/>
      <c r="H24" s="909"/>
      <c r="I24" s="909"/>
      <c r="J24" s="909"/>
      <c r="K24" s="909"/>
      <c r="L24" s="909"/>
      <c r="M24" s="909"/>
      <c r="N24" s="909"/>
      <c r="O24" s="909"/>
      <c r="P24" s="910"/>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14:P14"/>
    <mergeCell ref="C11:P11"/>
    <mergeCell ref="C12:P12"/>
    <mergeCell ref="C13:P13"/>
    <mergeCell ref="C5:M5"/>
    <mergeCell ref="C7:P7"/>
    <mergeCell ref="C9:P9"/>
    <mergeCell ref="C8:P8"/>
    <mergeCell ref="C10:P10"/>
  </mergeCells>
  <phoneticPr fontId="10" type="noConversion"/>
  <printOptions horizontalCentered="1"/>
  <pageMargins left="0.5" right="0.5" top="0.75" bottom="0.75" header="0.5" footer="0.5"/>
  <pageSetup paperSize="9" firstPageNumber="25" orientation="landscape" r:id="rId1"/>
  <headerFooter alignWithMargins="0">
    <oddFooter>&amp;C&amp;"Arial,Regular"UNSD/Programa de las Naciones Unidas para el Medio Ambiente Cuestionario 2018 Estadisticas Ambientales -  Sección del Agua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L71"/>
  <sheetViews>
    <sheetView showGridLines="0" zoomScale="110" zoomScaleNormal="110" zoomScaleSheetLayoutView="85" zoomScalePageLayoutView="70" workbookViewId="0"/>
  </sheetViews>
  <sheetFormatPr defaultColWidth="9.33203125" defaultRowHeight="12.75" x14ac:dyDescent="0.2"/>
  <cols>
    <col min="1" max="1" width="3.33203125" customWidth="1"/>
    <col min="2" max="2" width="12.83203125" customWidth="1"/>
    <col min="3" max="3" width="20" customWidth="1"/>
    <col min="4" max="6" width="15.83203125" customWidth="1"/>
    <col min="7" max="7" width="11.5" customWidth="1"/>
    <col min="8" max="9" width="9.33203125" customWidth="1"/>
    <col min="10" max="10" width="16.83203125" customWidth="1"/>
    <col min="11" max="11" width="27.33203125" customWidth="1"/>
  </cols>
  <sheetData>
    <row r="1" spans="1:11" ht="15.75" x14ac:dyDescent="0.25">
      <c r="A1" s="31"/>
      <c r="B1" s="136" t="s">
        <v>395</v>
      </c>
    </row>
    <row r="2" spans="1:11" ht="9.75" customHeight="1" x14ac:dyDescent="0.2"/>
    <row r="3" spans="1:11" s="16" customFormat="1" ht="16.5" customHeight="1" x14ac:dyDescent="0.2">
      <c r="B3" s="733" t="s">
        <v>164</v>
      </c>
      <c r="C3" s="733"/>
      <c r="D3" s="733"/>
      <c r="E3" s="733"/>
      <c r="F3" s="733"/>
      <c r="G3" s="733"/>
      <c r="H3" s="733"/>
      <c r="I3" s="733"/>
      <c r="J3" s="733"/>
      <c r="K3" s="733"/>
    </row>
    <row r="4" spans="1:11" ht="9.75" customHeight="1" x14ac:dyDescent="0.25">
      <c r="C4" s="11"/>
    </row>
    <row r="5" spans="1:11" s="16" customFormat="1" ht="15.75" x14ac:dyDescent="0.25">
      <c r="B5" s="735" t="s">
        <v>165</v>
      </c>
      <c r="C5" s="735"/>
      <c r="D5" s="735"/>
      <c r="E5" s="735"/>
      <c r="F5" s="735"/>
      <c r="G5" s="735"/>
      <c r="H5" s="735"/>
      <c r="I5" s="735"/>
      <c r="J5" s="735"/>
      <c r="K5" s="735"/>
    </row>
    <row r="6" spans="1:11" ht="7.5" customHeight="1" x14ac:dyDescent="0.25">
      <c r="B6" s="12"/>
      <c r="C6" s="13"/>
      <c r="D6" s="8"/>
      <c r="F6" s="8"/>
      <c r="G6" s="6"/>
      <c r="H6" s="6"/>
      <c r="I6" s="6"/>
      <c r="J6" s="6"/>
    </row>
    <row r="7" spans="1:11" s="9" customFormat="1" ht="40.5" customHeight="1" x14ac:dyDescent="0.2">
      <c r="B7" s="732" t="s">
        <v>671</v>
      </c>
      <c r="C7" s="732"/>
      <c r="D7" s="732"/>
      <c r="E7" s="732"/>
      <c r="F7" s="732"/>
      <c r="G7" s="732"/>
      <c r="H7" s="732"/>
      <c r="I7" s="732"/>
      <c r="J7" s="732"/>
      <c r="K7" s="732"/>
    </row>
    <row r="8" spans="1:11" s="9" customFormat="1" ht="7.5" customHeight="1" x14ac:dyDescent="0.2">
      <c r="B8" s="125"/>
      <c r="C8" s="126"/>
      <c r="D8" s="127"/>
      <c r="E8" s="10"/>
      <c r="F8" s="127"/>
      <c r="G8" s="128"/>
      <c r="H8" s="128"/>
      <c r="I8" s="128"/>
      <c r="J8" s="128"/>
      <c r="K8" s="10"/>
    </row>
    <row r="9" spans="1:11" s="9" customFormat="1" ht="25.5" customHeight="1" x14ac:dyDescent="0.2">
      <c r="B9" s="732" t="s">
        <v>75</v>
      </c>
      <c r="C9" s="732"/>
      <c r="D9" s="732"/>
      <c r="E9" s="732"/>
      <c r="F9" s="732"/>
      <c r="G9" s="732"/>
      <c r="H9" s="732"/>
      <c r="I9" s="732"/>
      <c r="J9" s="732"/>
      <c r="K9" s="732"/>
    </row>
    <row r="10" spans="1:11" s="9" customFormat="1" ht="4.5" customHeight="1" x14ac:dyDescent="0.2">
      <c r="B10" s="129"/>
      <c r="C10" s="129"/>
      <c r="D10" s="129"/>
      <c r="E10" s="129"/>
      <c r="F10" s="129"/>
      <c r="G10" s="129"/>
      <c r="H10" s="129"/>
      <c r="I10" s="129"/>
      <c r="J10" s="129"/>
      <c r="K10" s="129"/>
    </row>
    <row r="11" spans="1:11" s="2" customFormat="1" ht="39" customHeight="1" x14ac:dyDescent="0.2">
      <c r="B11" s="732" t="s">
        <v>672</v>
      </c>
      <c r="C11" s="732"/>
      <c r="D11" s="732"/>
      <c r="E11" s="732"/>
      <c r="F11" s="732"/>
      <c r="G11" s="732"/>
      <c r="H11" s="732"/>
      <c r="I11" s="732"/>
      <c r="J11" s="732"/>
      <c r="K11" s="732"/>
    </row>
    <row r="12" spans="1:11" s="9" customFormat="1" ht="4.5" customHeight="1" x14ac:dyDescent="0.2">
      <c r="B12" s="126"/>
      <c r="C12" s="126"/>
      <c r="D12" s="126"/>
      <c r="E12" s="126"/>
      <c r="F12" s="126"/>
      <c r="G12" s="126"/>
      <c r="H12" s="126"/>
      <c r="I12" s="126"/>
      <c r="J12" s="126"/>
      <c r="K12" s="126"/>
    </row>
    <row r="13" spans="1:11" s="9" customFormat="1" ht="25.5" customHeight="1" x14ac:dyDescent="0.2">
      <c r="B13" s="732" t="s">
        <v>166</v>
      </c>
      <c r="C13" s="732"/>
      <c r="D13" s="732"/>
      <c r="E13" s="732"/>
      <c r="F13" s="732"/>
      <c r="G13" s="732"/>
      <c r="H13" s="732"/>
      <c r="I13" s="732"/>
      <c r="J13" s="732"/>
      <c r="K13" s="732"/>
    </row>
    <row r="14" spans="1:11" s="9" customFormat="1" ht="4.5" customHeight="1" x14ac:dyDescent="0.2">
      <c r="B14" s="126"/>
      <c r="C14" s="126"/>
      <c r="D14" s="126"/>
      <c r="E14" s="126"/>
      <c r="F14" s="126"/>
      <c r="G14" s="126"/>
      <c r="H14" s="126"/>
      <c r="I14" s="126"/>
      <c r="J14" s="126"/>
      <c r="K14" s="126"/>
    </row>
    <row r="15" spans="1:11" s="51" customFormat="1" ht="26.25" customHeight="1" x14ac:dyDescent="0.2">
      <c r="B15" s="734" t="s">
        <v>669</v>
      </c>
      <c r="C15" s="734"/>
      <c r="D15" s="734"/>
      <c r="E15" s="734"/>
      <c r="F15" s="734"/>
      <c r="G15" s="734"/>
      <c r="H15" s="734"/>
      <c r="I15" s="734"/>
      <c r="J15" s="734"/>
      <c r="K15" s="734"/>
    </row>
    <row r="16" spans="1:11" s="9" customFormat="1" ht="4.5" customHeight="1" x14ac:dyDescent="0.2">
      <c r="B16" s="40"/>
      <c r="C16" s="40"/>
      <c r="D16" s="40"/>
      <c r="E16" s="40"/>
      <c r="F16" s="40"/>
      <c r="G16" s="40"/>
      <c r="H16" s="40"/>
      <c r="I16" s="40"/>
      <c r="J16" s="40"/>
      <c r="K16" s="40"/>
    </row>
    <row r="17" spans="2:11" s="9" customFormat="1" ht="40.5" customHeight="1" x14ac:dyDescent="0.2">
      <c r="B17" s="734" t="s">
        <v>394</v>
      </c>
      <c r="C17" s="734"/>
      <c r="D17" s="734"/>
      <c r="E17" s="734"/>
      <c r="F17" s="734"/>
      <c r="G17" s="734"/>
      <c r="H17" s="734"/>
      <c r="I17" s="734"/>
      <c r="J17" s="734"/>
      <c r="K17" s="734"/>
    </row>
    <row r="18" spans="2:11" s="9" customFormat="1" ht="4.5" customHeight="1" x14ac:dyDescent="0.2">
      <c r="B18" s="129"/>
      <c r="C18" s="129"/>
      <c r="D18" s="129"/>
      <c r="E18" s="129"/>
      <c r="F18" s="129"/>
      <c r="G18" s="129"/>
      <c r="H18" s="129"/>
      <c r="I18" s="129"/>
      <c r="J18" s="129"/>
      <c r="K18" s="129"/>
    </row>
    <row r="19" spans="2:11" s="9" customFormat="1" ht="26.25" customHeight="1" x14ac:dyDescent="0.2">
      <c r="B19" s="728" t="s">
        <v>76</v>
      </c>
      <c r="C19" s="728"/>
      <c r="D19" s="728"/>
      <c r="E19" s="728"/>
      <c r="F19" s="728"/>
      <c r="G19" s="728"/>
      <c r="H19" s="728"/>
      <c r="I19" s="728"/>
      <c r="J19" s="728"/>
      <c r="K19" s="728"/>
    </row>
    <row r="20" spans="2:11" s="9" customFormat="1" ht="4.5" customHeight="1" x14ac:dyDescent="0.2">
      <c r="B20" s="130"/>
      <c r="C20" s="130"/>
      <c r="D20" s="130"/>
      <c r="E20" s="130"/>
      <c r="F20" s="130"/>
      <c r="G20" s="130"/>
      <c r="H20" s="130"/>
      <c r="I20" s="130"/>
      <c r="J20" s="130"/>
      <c r="K20" s="130"/>
    </row>
    <row r="21" spans="2:11" s="9" customFormat="1" ht="29.25" customHeight="1" x14ac:dyDescent="0.2">
      <c r="B21" s="724" t="s">
        <v>571</v>
      </c>
      <c r="C21" s="724"/>
      <c r="D21" s="724"/>
      <c r="E21" s="724"/>
      <c r="F21" s="724"/>
      <c r="G21" s="724"/>
      <c r="H21" s="724"/>
      <c r="I21" s="724"/>
      <c r="J21" s="724"/>
      <c r="K21" s="724"/>
    </row>
    <row r="22" spans="2:11" s="9" customFormat="1" ht="26.25" customHeight="1" x14ac:dyDescent="0.2">
      <c r="B22" s="724" t="s">
        <v>77</v>
      </c>
      <c r="C22" s="724"/>
      <c r="D22" s="724"/>
      <c r="E22" s="724"/>
      <c r="F22" s="724"/>
      <c r="G22" s="724"/>
      <c r="H22" s="724"/>
      <c r="I22" s="724"/>
      <c r="J22" s="724"/>
      <c r="K22" s="724"/>
    </row>
    <row r="23" spans="2:11" s="9" customFormat="1" ht="6.75" customHeight="1" x14ac:dyDescent="0.2">
      <c r="B23" s="131"/>
      <c r="C23" s="40"/>
      <c r="D23" s="40"/>
      <c r="E23" s="40"/>
      <c r="F23" s="40"/>
      <c r="G23" s="40"/>
      <c r="H23" s="40"/>
      <c r="I23" s="40"/>
      <c r="J23" s="40"/>
      <c r="K23" s="40"/>
    </row>
    <row r="24" spans="2:11" s="9" customFormat="1" ht="38.25" customHeight="1" x14ac:dyDescent="0.2">
      <c r="B24" s="728" t="s">
        <v>620</v>
      </c>
      <c r="C24" s="728"/>
      <c r="D24" s="728"/>
      <c r="E24" s="728"/>
      <c r="F24" s="728"/>
      <c r="G24" s="728"/>
      <c r="H24" s="728"/>
      <c r="I24" s="728"/>
      <c r="J24" s="728"/>
      <c r="K24" s="728"/>
    </row>
    <row r="25" spans="2:11" s="9" customFormat="1" ht="15.6" customHeight="1" x14ac:dyDescent="0.2">
      <c r="B25" s="736" t="s">
        <v>667</v>
      </c>
      <c r="C25" s="737"/>
      <c r="D25" s="737"/>
      <c r="E25" s="737"/>
      <c r="F25" s="737"/>
      <c r="G25" s="737"/>
      <c r="H25" s="737"/>
      <c r="I25" s="737"/>
      <c r="J25" s="737"/>
      <c r="K25" s="737"/>
    </row>
    <row r="26" spans="2:11" s="9" customFormat="1" ht="43.9" customHeight="1" x14ac:dyDescent="0.2">
      <c r="B26" s="728" t="s">
        <v>668</v>
      </c>
      <c r="C26" s="729"/>
      <c r="D26" s="729"/>
      <c r="E26" s="729"/>
      <c r="F26" s="729"/>
      <c r="G26" s="729"/>
      <c r="H26" s="729"/>
      <c r="I26" s="729"/>
      <c r="J26" s="729"/>
      <c r="K26" s="729"/>
    </row>
    <row r="27" spans="2:11" ht="10.5" customHeight="1" x14ac:dyDescent="0.2">
      <c r="B27" s="130"/>
      <c r="C27" s="130"/>
      <c r="D27" s="130"/>
      <c r="E27" s="130"/>
      <c r="F27" s="130"/>
      <c r="G27" s="130"/>
      <c r="H27" s="130"/>
      <c r="I27" s="130"/>
      <c r="J27" s="130"/>
      <c r="K27" s="130"/>
    </row>
    <row r="28" spans="2:11" s="9" customFormat="1" ht="8.25" customHeight="1" x14ac:dyDescent="0.2">
      <c r="B28" s="728"/>
      <c r="C28" s="728"/>
      <c r="D28" s="728"/>
      <c r="E28" s="728"/>
      <c r="F28" s="728"/>
      <c r="G28" s="728"/>
      <c r="H28" s="728"/>
      <c r="I28" s="728"/>
      <c r="J28" s="728"/>
      <c r="K28" s="728"/>
    </row>
    <row r="29" spans="2:11" ht="0.75" customHeight="1" x14ac:dyDescent="0.2">
      <c r="B29" s="133"/>
      <c r="C29" s="134"/>
      <c r="D29" s="134"/>
      <c r="E29" s="134"/>
      <c r="F29" s="134"/>
      <c r="G29" s="134"/>
      <c r="H29" s="134"/>
      <c r="I29" s="134"/>
      <c r="J29" s="134"/>
      <c r="K29" s="135"/>
    </row>
    <row r="30" spans="2:11" s="16" customFormat="1" ht="15.75" x14ac:dyDescent="0.25">
      <c r="B30" s="731" t="s">
        <v>167</v>
      </c>
      <c r="C30" s="731"/>
      <c r="D30" s="731"/>
      <c r="E30" s="731"/>
      <c r="F30" s="731"/>
      <c r="G30" s="731"/>
      <c r="H30" s="731"/>
      <c r="I30" s="731"/>
      <c r="J30" s="731"/>
      <c r="K30" s="731"/>
    </row>
    <row r="31" spans="2:11" ht="7.5" customHeight="1" x14ac:dyDescent="0.25">
      <c r="B31" s="91"/>
      <c r="C31" s="36"/>
      <c r="D31" s="91"/>
      <c r="E31" s="36"/>
      <c r="F31" s="91"/>
      <c r="G31" s="36"/>
      <c r="H31" s="91"/>
      <c r="I31" s="36"/>
      <c r="J31" s="91"/>
      <c r="K31" s="36"/>
    </row>
    <row r="32" spans="2:11" ht="7.5" customHeight="1" x14ac:dyDescent="0.2">
      <c r="B32" s="730"/>
      <c r="C32" s="730"/>
      <c r="D32" s="730"/>
      <c r="E32" s="730"/>
      <c r="F32" s="730"/>
      <c r="G32" s="730"/>
      <c r="H32" s="730"/>
      <c r="I32" s="730"/>
      <c r="J32" s="730"/>
      <c r="K32" s="730"/>
    </row>
    <row r="33" spans="2:11" s="51" customFormat="1" ht="15.75" customHeight="1" x14ac:dyDescent="0.2">
      <c r="B33" s="137" t="s">
        <v>208</v>
      </c>
      <c r="C33" s="726" t="s">
        <v>396</v>
      </c>
      <c r="D33" s="726"/>
      <c r="E33" s="726"/>
      <c r="F33" s="726"/>
      <c r="G33" s="726"/>
      <c r="H33" s="726"/>
      <c r="I33" s="726"/>
      <c r="J33" s="726"/>
      <c r="K33" s="726"/>
    </row>
    <row r="34" spans="2:11" s="51" customFormat="1" ht="26.25" customHeight="1" x14ac:dyDescent="0.2">
      <c r="B34" s="137" t="s">
        <v>208</v>
      </c>
      <c r="C34" s="726" t="s">
        <v>673</v>
      </c>
      <c r="D34" s="726"/>
      <c r="E34" s="726"/>
      <c r="F34" s="726"/>
      <c r="G34" s="726"/>
      <c r="H34" s="726"/>
      <c r="I34" s="726"/>
      <c r="J34" s="726"/>
      <c r="K34" s="726"/>
    </row>
    <row r="35" spans="2:11" s="41" customFormat="1" ht="68.25" customHeight="1" x14ac:dyDescent="0.2">
      <c r="B35" s="137" t="s">
        <v>208</v>
      </c>
      <c r="C35" s="726" t="s">
        <v>397</v>
      </c>
      <c r="D35" s="726"/>
      <c r="E35" s="726"/>
      <c r="F35" s="726"/>
      <c r="G35" s="726"/>
      <c r="H35" s="726"/>
      <c r="I35" s="726"/>
      <c r="J35" s="726"/>
      <c r="K35" s="726"/>
    </row>
    <row r="36" spans="2:11" s="51" customFormat="1" ht="42.75" customHeight="1" x14ac:dyDescent="0.2">
      <c r="B36" s="139" t="s">
        <v>208</v>
      </c>
      <c r="C36" s="726" t="s">
        <v>398</v>
      </c>
      <c r="D36" s="726"/>
      <c r="E36" s="726"/>
      <c r="F36" s="726"/>
      <c r="G36" s="726"/>
      <c r="H36" s="726"/>
      <c r="I36" s="726"/>
      <c r="J36" s="726"/>
      <c r="K36" s="726"/>
    </row>
    <row r="37" spans="2:11" s="51" customFormat="1" ht="27.75" customHeight="1" x14ac:dyDescent="0.2">
      <c r="B37" s="139" t="s">
        <v>208</v>
      </c>
      <c r="C37" s="717" t="s">
        <v>78</v>
      </c>
      <c r="D37" s="717"/>
      <c r="E37" s="717"/>
      <c r="F37" s="717"/>
      <c r="G37" s="717"/>
      <c r="H37" s="717"/>
      <c r="I37" s="717"/>
      <c r="J37" s="717"/>
      <c r="K37" s="717"/>
    </row>
    <row r="38" spans="2:11" s="9" customFormat="1" ht="15.75" customHeight="1" x14ac:dyDescent="0.2">
      <c r="B38" s="139" t="s">
        <v>208</v>
      </c>
      <c r="C38" s="726" t="s">
        <v>79</v>
      </c>
      <c r="D38" s="726"/>
      <c r="E38" s="726"/>
      <c r="F38" s="726"/>
      <c r="G38" s="726"/>
      <c r="H38" s="726"/>
      <c r="I38" s="726"/>
      <c r="J38" s="726"/>
      <c r="K38" s="726"/>
    </row>
    <row r="39" spans="2:11" s="51" customFormat="1" ht="15.75" customHeight="1" x14ac:dyDescent="0.2">
      <c r="B39" s="139" t="s">
        <v>208</v>
      </c>
      <c r="C39" s="726" t="s">
        <v>399</v>
      </c>
      <c r="D39" s="726"/>
      <c r="E39" s="726"/>
      <c r="F39" s="726"/>
      <c r="G39" s="726"/>
      <c r="H39" s="726"/>
      <c r="I39" s="726"/>
      <c r="J39" s="726"/>
      <c r="K39" s="726"/>
    </row>
    <row r="40" spans="2:11" s="51" customFormat="1" ht="27.75" customHeight="1" x14ac:dyDescent="0.2">
      <c r="B40" s="139" t="s">
        <v>208</v>
      </c>
      <c r="C40" s="726" t="s">
        <v>400</v>
      </c>
      <c r="D40" s="726"/>
      <c r="E40" s="726"/>
      <c r="F40" s="726"/>
      <c r="G40" s="726"/>
      <c r="H40" s="726"/>
      <c r="I40" s="726"/>
      <c r="J40" s="726"/>
      <c r="K40" s="726"/>
    </row>
    <row r="41" spans="2:11" s="9" customFormat="1" ht="10.5" customHeight="1" x14ac:dyDescent="0.2">
      <c r="B41" s="139"/>
      <c r="C41" s="724"/>
      <c r="D41" s="724"/>
      <c r="E41" s="724"/>
      <c r="F41" s="724"/>
      <c r="G41" s="724"/>
      <c r="H41" s="724"/>
      <c r="I41" s="724"/>
      <c r="J41" s="724"/>
      <c r="K41" s="724"/>
    </row>
    <row r="42" spans="2:11" s="55" customFormat="1" ht="15.75" customHeight="1" x14ac:dyDescent="0.2">
      <c r="B42" s="140" t="s">
        <v>80</v>
      </c>
      <c r="C42" s="140"/>
      <c r="D42" s="140"/>
      <c r="E42" s="141"/>
      <c r="F42" s="141"/>
      <c r="G42" s="142"/>
      <c r="H42" s="142"/>
      <c r="I42" s="142"/>
      <c r="J42" s="142"/>
      <c r="K42" s="142"/>
    </row>
    <row r="43" spans="2:11" s="42" customFormat="1" ht="2.25" customHeight="1" x14ac:dyDescent="0.2">
      <c r="B43" s="132"/>
      <c r="C43" s="138"/>
      <c r="D43" s="138"/>
      <c r="E43" s="138"/>
      <c r="F43" s="138"/>
      <c r="G43" s="138"/>
      <c r="H43" s="138"/>
      <c r="I43" s="138"/>
      <c r="J43" s="138"/>
      <c r="K43" s="138"/>
    </row>
    <row r="44" spans="2:11" s="42" customFormat="1" ht="13.5" customHeight="1" x14ac:dyDescent="0.2">
      <c r="B44" s="143" t="s">
        <v>383</v>
      </c>
      <c r="C44" s="144" t="s">
        <v>170</v>
      </c>
      <c r="D44" s="145"/>
      <c r="E44" s="145"/>
      <c r="F44" s="145"/>
      <c r="G44" s="145"/>
      <c r="H44" s="145"/>
      <c r="I44" s="145"/>
      <c r="J44" s="145"/>
      <c r="K44" s="145"/>
    </row>
    <row r="45" spans="2:11" s="42" customFormat="1" ht="14.25" x14ac:dyDescent="0.2">
      <c r="B45" s="143" t="s">
        <v>383</v>
      </c>
      <c r="C45" s="144" t="s">
        <v>168</v>
      </c>
      <c r="D45" s="144"/>
      <c r="E45" s="144"/>
      <c r="F45" s="144"/>
      <c r="G45" s="144"/>
      <c r="H45" s="144"/>
      <c r="I45" s="144"/>
      <c r="J45" s="144"/>
      <c r="K45" s="144"/>
    </row>
    <row r="46" spans="2:11" s="42" customFormat="1" ht="14.25" customHeight="1" x14ac:dyDescent="0.2">
      <c r="B46" s="143" t="s">
        <v>383</v>
      </c>
      <c r="C46" s="144" t="s">
        <v>169</v>
      </c>
      <c r="D46" s="138"/>
      <c r="E46" s="138"/>
      <c r="F46" s="138"/>
      <c r="G46" s="138"/>
      <c r="H46" s="138"/>
      <c r="I46" s="138"/>
      <c r="J46" s="138"/>
      <c r="K46" s="138"/>
    </row>
    <row r="47" spans="2:11" s="42" customFormat="1" ht="30" customHeight="1" x14ac:dyDescent="0.2">
      <c r="B47" s="146" t="s">
        <v>383</v>
      </c>
      <c r="C47" s="725" t="s">
        <v>572</v>
      </c>
      <c r="D47" s="725"/>
      <c r="E47" s="725"/>
      <c r="F47" s="725"/>
      <c r="G47" s="725"/>
      <c r="H47" s="725"/>
      <c r="I47" s="725"/>
      <c r="J47" s="725"/>
      <c r="K47" s="725"/>
    </row>
    <row r="48" spans="2:11" s="36" customFormat="1" ht="9.75" customHeight="1" x14ac:dyDescent="0.2">
      <c r="B48" s="147"/>
      <c r="C48" s="148"/>
      <c r="D48" s="149"/>
      <c r="E48" s="149"/>
      <c r="F48" s="149"/>
      <c r="G48" s="149"/>
      <c r="H48" s="149"/>
      <c r="I48" s="149"/>
      <c r="J48" s="149"/>
      <c r="K48" s="149"/>
    </row>
    <row r="49" spans="2:12" s="16" customFormat="1" ht="15.75" customHeight="1" x14ac:dyDescent="0.2">
      <c r="B49" s="727" t="s">
        <v>171</v>
      </c>
      <c r="C49" s="727"/>
      <c r="D49" s="727"/>
      <c r="E49" s="727"/>
      <c r="F49" s="727"/>
      <c r="G49" s="727"/>
      <c r="H49" s="727"/>
      <c r="I49" s="727"/>
      <c r="J49" s="727"/>
      <c r="K49" s="727"/>
    </row>
    <row r="50" spans="2:12" ht="7.5" customHeight="1" x14ac:dyDescent="0.2">
      <c r="B50" s="10"/>
      <c r="C50" s="10"/>
      <c r="D50" s="150"/>
      <c r="E50" s="150"/>
      <c r="F50" s="10"/>
      <c r="G50" s="150"/>
      <c r="H50" s="150"/>
      <c r="I50" s="150"/>
      <c r="J50" s="150"/>
      <c r="K50" s="151"/>
    </row>
    <row r="51" spans="2:12" ht="24" customHeight="1" x14ac:dyDescent="0.2">
      <c r="B51" s="721" t="s">
        <v>172</v>
      </c>
      <c r="C51" s="722"/>
      <c r="D51" s="722"/>
      <c r="E51" s="722"/>
      <c r="F51" s="722"/>
      <c r="G51" s="722"/>
      <c r="H51" s="722"/>
      <c r="I51" s="722"/>
      <c r="J51" s="722"/>
      <c r="K51" s="723"/>
      <c r="L51" s="21"/>
    </row>
    <row r="52" spans="2:12" ht="95.25" customHeight="1" x14ac:dyDescent="0.2">
      <c r="B52" s="718" t="s">
        <v>401</v>
      </c>
      <c r="C52" s="719"/>
      <c r="D52" s="719"/>
      <c r="E52" s="719"/>
      <c r="F52" s="719"/>
      <c r="G52" s="719"/>
      <c r="H52" s="719"/>
      <c r="I52" s="719"/>
      <c r="J52" s="719"/>
      <c r="K52" s="720"/>
    </row>
    <row r="53" spans="2:12" ht="24" customHeight="1" x14ac:dyDescent="0.2">
      <c r="B53" s="721" t="s">
        <v>81</v>
      </c>
      <c r="C53" s="722"/>
      <c r="D53" s="722"/>
      <c r="E53" s="722"/>
      <c r="F53" s="722"/>
      <c r="G53" s="722"/>
      <c r="H53" s="722"/>
      <c r="I53" s="722"/>
      <c r="J53" s="722"/>
      <c r="K53" s="723"/>
    </row>
    <row r="54" spans="2:12" ht="90" customHeight="1" x14ac:dyDescent="0.2">
      <c r="B54" s="718" t="s">
        <v>402</v>
      </c>
      <c r="C54" s="719"/>
      <c r="D54" s="719"/>
      <c r="E54" s="719"/>
      <c r="F54" s="719"/>
      <c r="G54" s="719"/>
      <c r="H54" s="719"/>
      <c r="I54" s="719"/>
      <c r="J54" s="719"/>
      <c r="K54" s="720"/>
    </row>
    <row r="55" spans="2:12" ht="24" customHeight="1" x14ac:dyDescent="0.2">
      <c r="B55" s="721" t="s">
        <v>15</v>
      </c>
      <c r="C55" s="722"/>
      <c r="D55" s="722"/>
      <c r="E55" s="722"/>
      <c r="F55" s="722"/>
      <c r="G55" s="722"/>
      <c r="H55" s="722"/>
      <c r="I55" s="722"/>
      <c r="J55" s="722"/>
      <c r="K55" s="723"/>
    </row>
    <row r="56" spans="2:12" ht="63.75" customHeight="1" x14ac:dyDescent="0.2">
      <c r="B56" s="718" t="s">
        <v>403</v>
      </c>
      <c r="C56" s="719"/>
      <c r="D56" s="719"/>
      <c r="E56" s="719"/>
      <c r="F56" s="719"/>
      <c r="G56" s="719"/>
      <c r="H56" s="719"/>
      <c r="I56" s="719"/>
      <c r="J56" s="719"/>
      <c r="K56" s="720"/>
    </row>
    <row r="57" spans="2:12" ht="24" customHeight="1" x14ac:dyDescent="0.2">
      <c r="B57" s="721" t="s">
        <v>16</v>
      </c>
      <c r="C57" s="722"/>
      <c r="D57" s="722"/>
      <c r="E57" s="722"/>
      <c r="F57" s="722"/>
      <c r="G57" s="722"/>
      <c r="H57" s="722"/>
      <c r="I57" s="722"/>
      <c r="J57" s="722"/>
      <c r="K57" s="723"/>
    </row>
    <row r="58" spans="2:12" ht="67.5" customHeight="1" x14ac:dyDescent="0.2">
      <c r="B58" s="718" t="s">
        <v>545</v>
      </c>
      <c r="C58" s="719"/>
      <c r="D58" s="719"/>
      <c r="E58" s="719"/>
      <c r="F58" s="719"/>
      <c r="G58" s="719"/>
      <c r="H58" s="719"/>
      <c r="I58" s="719"/>
      <c r="J58" s="719"/>
      <c r="K58" s="720"/>
    </row>
    <row r="59" spans="2:12" ht="24" customHeight="1" x14ac:dyDescent="0.2">
      <c r="B59" s="721" t="s">
        <v>18</v>
      </c>
      <c r="C59" s="722"/>
      <c r="D59" s="722"/>
      <c r="E59" s="722"/>
      <c r="F59" s="722"/>
      <c r="G59" s="722"/>
      <c r="H59" s="722"/>
      <c r="I59" s="722"/>
      <c r="J59" s="722"/>
      <c r="K59" s="723"/>
    </row>
    <row r="60" spans="2:12" ht="27" customHeight="1" x14ac:dyDescent="0.2">
      <c r="B60" s="718" t="s">
        <v>17</v>
      </c>
      <c r="C60" s="719"/>
      <c r="D60" s="719"/>
      <c r="E60" s="719"/>
      <c r="F60" s="719"/>
      <c r="G60" s="719"/>
      <c r="H60" s="719"/>
      <c r="I60" s="719"/>
      <c r="J60" s="719"/>
      <c r="K60" s="720"/>
    </row>
    <row r="61" spans="2:12" s="16" customFormat="1" ht="24" customHeight="1" x14ac:dyDescent="0.2">
      <c r="B61" s="721" t="s">
        <v>19</v>
      </c>
      <c r="C61" s="722"/>
      <c r="D61" s="722"/>
      <c r="E61" s="722"/>
      <c r="F61" s="722"/>
      <c r="G61" s="722"/>
      <c r="H61" s="722"/>
      <c r="I61" s="722"/>
      <c r="J61" s="722"/>
      <c r="K61" s="723"/>
    </row>
    <row r="62" spans="2:12" ht="67.5" customHeight="1" x14ac:dyDescent="0.2">
      <c r="B62" s="718" t="s">
        <v>82</v>
      </c>
      <c r="C62" s="719"/>
      <c r="D62" s="719"/>
      <c r="E62" s="719"/>
      <c r="F62" s="719"/>
      <c r="G62" s="719"/>
      <c r="H62" s="719"/>
      <c r="I62" s="719"/>
      <c r="J62" s="719"/>
      <c r="K62" s="720"/>
    </row>
    <row r="63" spans="2:12" ht="24" customHeight="1" x14ac:dyDescent="0.2">
      <c r="B63" s="138"/>
      <c r="C63" s="138"/>
      <c r="D63" s="138"/>
      <c r="E63" s="138"/>
      <c r="F63" s="138"/>
      <c r="G63" s="138"/>
      <c r="H63" s="138"/>
      <c r="I63" s="138"/>
      <c r="J63" s="138"/>
      <c r="K63" s="138"/>
    </row>
    <row r="64" spans="2:12" ht="15.75" customHeight="1" x14ac:dyDescent="0.25">
      <c r="B64" s="716" t="s">
        <v>546</v>
      </c>
      <c r="C64" s="716"/>
      <c r="D64" s="716"/>
      <c r="E64" s="716"/>
      <c r="F64" s="716"/>
      <c r="G64" s="716"/>
      <c r="H64" s="716"/>
      <c r="I64" s="716"/>
      <c r="J64" s="716"/>
      <c r="K64" s="716"/>
    </row>
    <row r="65" spans="2:11" ht="24" customHeight="1" x14ac:dyDescent="0.2">
      <c r="B65" s="9"/>
      <c r="C65" s="9"/>
      <c r="D65" s="9"/>
      <c r="E65" s="9"/>
      <c r="F65" s="9"/>
      <c r="G65" s="9"/>
      <c r="H65" s="9"/>
      <c r="I65" s="9"/>
      <c r="J65" s="9"/>
      <c r="K65" s="9"/>
    </row>
    <row r="66" spans="2:11" ht="25.15" customHeight="1" x14ac:dyDescent="0.2">
      <c r="B66" s="9"/>
      <c r="C66" s="679" t="s">
        <v>20</v>
      </c>
      <c r="D66" s="680" t="s">
        <v>21</v>
      </c>
      <c r="E66" s="680" t="s">
        <v>22</v>
      </c>
      <c r="F66" s="9"/>
      <c r="G66" s="9"/>
      <c r="H66" s="9"/>
      <c r="I66" s="9"/>
      <c r="J66" s="9"/>
      <c r="K66" s="9"/>
    </row>
    <row r="67" spans="2:11" s="9" customFormat="1" ht="26.25" customHeight="1" x14ac:dyDescent="0.2">
      <c r="C67" s="152" t="s">
        <v>23</v>
      </c>
      <c r="D67" s="153" t="s">
        <v>195</v>
      </c>
      <c r="E67" s="153">
        <v>4.5460900000000004</v>
      </c>
    </row>
    <row r="68" spans="2:11" x14ac:dyDescent="0.2">
      <c r="B68" s="9"/>
      <c r="C68" s="152" t="s">
        <v>24</v>
      </c>
      <c r="D68" s="153" t="s">
        <v>195</v>
      </c>
      <c r="E68" s="153">
        <v>3.7854117839999999</v>
      </c>
      <c r="F68" s="9"/>
      <c r="G68" s="9"/>
      <c r="H68" s="9"/>
      <c r="I68" s="9"/>
      <c r="J68" s="9"/>
      <c r="K68" s="9"/>
    </row>
    <row r="69" spans="2:11" ht="14.25" x14ac:dyDescent="0.2">
      <c r="B69" s="9"/>
      <c r="C69" s="152" t="s">
        <v>197</v>
      </c>
      <c r="D69" s="153" t="s">
        <v>195</v>
      </c>
      <c r="E69" s="153">
        <v>1000</v>
      </c>
      <c r="F69" s="9"/>
      <c r="G69" s="9"/>
      <c r="H69" s="9"/>
      <c r="I69" s="9"/>
      <c r="J69" s="9"/>
      <c r="K69" s="9"/>
    </row>
    <row r="70" spans="2:11" ht="14.25" x14ac:dyDescent="0.2">
      <c r="B70" s="9"/>
      <c r="C70" s="152" t="s">
        <v>25</v>
      </c>
      <c r="D70" s="154" t="s">
        <v>197</v>
      </c>
      <c r="E70" s="153">
        <v>1E-3</v>
      </c>
      <c r="F70" s="9"/>
      <c r="G70" s="9"/>
      <c r="H70" s="9"/>
      <c r="I70" s="9"/>
      <c r="J70" s="9"/>
      <c r="K70" s="9"/>
    </row>
    <row r="71" spans="2:11" x14ac:dyDescent="0.2">
      <c r="B71" s="9"/>
      <c r="C71" s="152" t="s">
        <v>196</v>
      </c>
      <c r="D71" s="153" t="s">
        <v>195</v>
      </c>
      <c r="E71" s="153">
        <v>1E-3</v>
      </c>
      <c r="F71" s="9"/>
      <c r="G71" s="9"/>
      <c r="H71" s="9"/>
      <c r="I71" s="9"/>
      <c r="J71" s="9"/>
      <c r="K71" s="9"/>
    </row>
  </sheetData>
  <sheetProtection sheet="1"/>
  <mergeCells count="41">
    <mergeCell ref="B13:K13"/>
    <mergeCell ref="C38:K38"/>
    <mergeCell ref="B3:K3"/>
    <mergeCell ref="B28:K28"/>
    <mergeCell ref="B17:K17"/>
    <mergeCell ref="B21:K21"/>
    <mergeCell ref="B5:K5"/>
    <mergeCell ref="B9:K9"/>
    <mergeCell ref="B11:K11"/>
    <mergeCell ref="B7:K7"/>
    <mergeCell ref="B22:K22"/>
    <mergeCell ref="B24:K24"/>
    <mergeCell ref="B25:K25"/>
    <mergeCell ref="B15:K15"/>
    <mergeCell ref="B19:K19"/>
    <mergeCell ref="B54:K54"/>
    <mergeCell ref="B51:K51"/>
    <mergeCell ref="B26:K26"/>
    <mergeCell ref="C33:K33"/>
    <mergeCell ref="C35:K35"/>
    <mergeCell ref="C34:K34"/>
    <mergeCell ref="B32:K32"/>
    <mergeCell ref="B30:K30"/>
    <mergeCell ref="C36:K36"/>
    <mergeCell ref="B53:K53"/>
    <mergeCell ref="B64:K64"/>
    <mergeCell ref="C37:K37"/>
    <mergeCell ref="B62:K62"/>
    <mergeCell ref="B58:K58"/>
    <mergeCell ref="B61:K61"/>
    <mergeCell ref="B60:K60"/>
    <mergeCell ref="B57:K57"/>
    <mergeCell ref="C41:K41"/>
    <mergeCell ref="C47:K47"/>
    <mergeCell ref="B55:K55"/>
    <mergeCell ref="C39:K39"/>
    <mergeCell ref="B52:K52"/>
    <mergeCell ref="B59:K59"/>
    <mergeCell ref="B49:K49"/>
    <mergeCell ref="B56:K56"/>
    <mergeCell ref="C40:K40"/>
  </mergeCells>
  <phoneticPr fontId="10" type="noConversion"/>
  <printOptions horizontalCentered="1"/>
  <pageMargins left="0.5" right="0.5" top="0.75" bottom="0.75" header="0.5" footer="0.5"/>
  <pageSetup paperSize="9" scale="96" firstPageNumber="2" fitToHeight="0" orientation="landscape" useFirstPageNumber="1" r:id="rId1"/>
  <headerFooter alignWithMargins="0">
    <oddFooter>&amp;C&amp;"Arial,Regular"UNSD/Programa de las Naciones Unidas para el Medio Ambiente Cuestionario 2018 Estadisticas Ambientales -  Sección del Agua -  &amp;P</oddFooter>
  </headerFooter>
  <rowBreaks count="3" manualBreakCount="3">
    <brk id="29" max="16383" man="1"/>
    <brk id="48" max="16383" man="1"/>
    <brk id="5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P103"/>
  <sheetViews>
    <sheetView showGridLines="0" topLeftCell="B1" zoomScaleNormal="100" zoomScaleSheetLayoutView="70" zoomScalePageLayoutView="70" workbookViewId="0">
      <selection activeCell="B1" sqref="B1"/>
    </sheetView>
  </sheetViews>
  <sheetFormatPr defaultColWidth="9.33203125" defaultRowHeight="12.75" x14ac:dyDescent="0.2"/>
  <cols>
    <col min="1" max="1" width="3.33203125" style="2" hidden="1" customWidth="1"/>
    <col min="2" max="2" width="11.83203125" style="20" customWidth="1"/>
    <col min="3" max="3" width="33.83203125" style="15" customWidth="1"/>
    <col min="4" max="4" width="121" style="15" customWidth="1"/>
    <col min="5" max="5" width="5.5" style="102" customWidth="1"/>
    <col min="6" max="6" width="5.5" style="103" customWidth="1"/>
    <col min="7" max="7" width="9.33203125" style="103" customWidth="1"/>
    <col min="8" max="10" width="9.33203125" style="2" customWidth="1"/>
    <col min="11" max="11" width="20.5" style="2" customWidth="1"/>
    <col min="12" max="16384" width="9.33203125" style="2"/>
  </cols>
  <sheetData>
    <row r="1" spans="2:7" ht="15.75" x14ac:dyDescent="0.25">
      <c r="B1" s="136" t="s">
        <v>395</v>
      </c>
    </row>
    <row r="2" spans="2:7" ht="7.5" customHeight="1" x14ac:dyDescent="0.2"/>
    <row r="3" spans="2:7" ht="18" x14ac:dyDescent="0.25">
      <c r="B3" s="738" t="s">
        <v>157</v>
      </c>
      <c r="C3" s="738"/>
      <c r="D3" s="738"/>
    </row>
    <row r="4" spans="2:7" ht="12.75" customHeight="1" x14ac:dyDescent="0.2">
      <c r="B4" s="101"/>
      <c r="C4" s="155"/>
      <c r="D4" s="156"/>
    </row>
    <row r="5" spans="2:7" ht="15.75" x14ac:dyDescent="0.2">
      <c r="B5" s="739" t="s">
        <v>26</v>
      </c>
      <c r="C5" s="739"/>
      <c r="D5" s="739"/>
    </row>
    <row r="6" spans="2:7" s="10" customFormat="1" ht="40.5" customHeight="1" thickBot="1" x14ac:dyDescent="0.25">
      <c r="B6" s="726" t="s">
        <v>621</v>
      </c>
      <c r="C6" s="726"/>
      <c r="D6" s="726"/>
      <c r="E6" s="102"/>
      <c r="F6" s="103"/>
      <c r="G6" s="103"/>
    </row>
    <row r="7" spans="2:7" ht="40.5" customHeight="1" x14ac:dyDescent="0.2">
      <c r="B7" s="191" t="s">
        <v>83</v>
      </c>
      <c r="C7" s="192" t="s">
        <v>36</v>
      </c>
      <c r="D7" s="193" t="s">
        <v>27</v>
      </c>
    </row>
    <row r="8" spans="2:7" s="10" customFormat="1" ht="27.75" customHeight="1" x14ac:dyDescent="0.2">
      <c r="B8" s="158" t="s">
        <v>380</v>
      </c>
      <c r="C8" s="159" t="s">
        <v>28</v>
      </c>
      <c r="D8" s="160" t="s">
        <v>37</v>
      </c>
      <c r="E8" s="104"/>
      <c r="F8" s="103"/>
      <c r="G8" s="103"/>
    </row>
    <row r="9" spans="2:7" s="10" customFormat="1" ht="117" customHeight="1" x14ac:dyDescent="0.2">
      <c r="B9" s="158" t="s">
        <v>482</v>
      </c>
      <c r="C9" s="159" t="s">
        <v>38</v>
      </c>
      <c r="D9" s="160" t="s">
        <v>39</v>
      </c>
      <c r="E9" s="104"/>
      <c r="F9" s="103"/>
      <c r="G9" s="103"/>
    </row>
    <row r="10" spans="2:7" s="10" customFormat="1" ht="54" customHeight="1" x14ac:dyDescent="0.2">
      <c r="B10" s="194" t="s">
        <v>459</v>
      </c>
      <c r="C10" s="161" t="s">
        <v>29</v>
      </c>
      <c r="D10" s="160" t="s">
        <v>84</v>
      </c>
      <c r="E10" s="104"/>
      <c r="F10" s="103"/>
      <c r="G10" s="103"/>
    </row>
    <row r="11" spans="2:7" s="10" customFormat="1" ht="43.9" customHeight="1" x14ac:dyDescent="0.2">
      <c r="B11" s="668" t="s">
        <v>622</v>
      </c>
      <c r="C11" s="159" t="s">
        <v>625</v>
      </c>
      <c r="D11" s="160" t="s">
        <v>626</v>
      </c>
      <c r="E11" s="104"/>
      <c r="F11" s="103"/>
      <c r="G11" s="103"/>
    </row>
    <row r="12" spans="2:7" s="10" customFormat="1" ht="57" customHeight="1" x14ac:dyDescent="0.2">
      <c r="B12" s="162" t="s">
        <v>379</v>
      </c>
      <c r="C12" s="161" t="s">
        <v>30</v>
      </c>
      <c r="D12" s="195" t="s">
        <v>85</v>
      </c>
      <c r="E12" s="104"/>
      <c r="F12" s="103"/>
      <c r="G12" s="103"/>
    </row>
    <row r="13" spans="2:7" s="10" customFormat="1" ht="48.6" customHeight="1" x14ac:dyDescent="0.2">
      <c r="B13" s="162" t="s">
        <v>623</v>
      </c>
      <c r="C13" s="161" t="s">
        <v>627</v>
      </c>
      <c r="D13" s="678" t="s">
        <v>628</v>
      </c>
      <c r="E13" s="104"/>
      <c r="F13" s="103"/>
      <c r="G13" s="103"/>
    </row>
    <row r="14" spans="2:7" s="10" customFormat="1" ht="29.25" customHeight="1" thickBot="1" x14ac:dyDescent="0.25">
      <c r="B14" s="667" t="s">
        <v>629</v>
      </c>
      <c r="C14" s="196" t="s">
        <v>31</v>
      </c>
      <c r="D14" s="197" t="s">
        <v>32</v>
      </c>
      <c r="E14" s="104"/>
      <c r="F14" s="103"/>
      <c r="G14" s="103"/>
    </row>
    <row r="15" spans="2:7" s="10" customFormat="1" ht="45" customHeight="1" thickBot="1" x14ac:dyDescent="0.25">
      <c r="B15" s="667" t="s">
        <v>624</v>
      </c>
      <c r="C15" s="196" t="s">
        <v>573</v>
      </c>
      <c r="D15" s="669" t="s">
        <v>630</v>
      </c>
      <c r="E15" s="104"/>
      <c r="F15" s="103"/>
      <c r="G15" s="103"/>
    </row>
    <row r="16" spans="2:7" ht="21.75" customHeight="1" x14ac:dyDescent="0.2">
      <c r="B16" s="164"/>
      <c r="C16" s="155"/>
      <c r="D16" s="156"/>
    </row>
    <row r="17" spans="1:7" ht="18" customHeight="1" thickBot="1" x14ac:dyDescent="0.25">
      <c r="B17" s="740" t="s">
        <v>150</v>
      </c>
      <c r="C17" s="740"/>
      <c r="D17" s="740"/>
    </row>
    <row r="18" spans="1:7" ht="32.25" customHeight="1" x14ac:dyDescent="0.2">
      <c r="B18" s="165" t="s">
        <v>33</v>
      </c>
      <c r="C18" s="166" t="s">
        <v>34</v>
      </c>
      <c r="D18" s="157" t="s">
        <v>150</v>
      </c>
      <c r="E18" s="102" t="s">
        <v>483</v>
      </c>
      <c r="G18" s="103" t="s">
        <v>485</v>
      </c>
    </row>
    <row r="19" spans="1:7" ht="30.75" customHeight="1" x14ac:dyDescent="0.2">
      <c r="B19" s="167" t="s">
        <v>422</v>
      </c>
      <c r="C19" s="159" t="s">
        <v>35</v>
      </c>
      <c r="D19" s="168" t="s">
        <v>72</v>
      </c>
      <c r="E19" s="102">
        <v>1</v>
      </c>
      <c r="G19" s="103">
        <v>7</v>
      </c>
    </row>
    <row r="20" spans="1:7" ht="66.75" customHeight="1" x14ac:dyDescent="0.2">
      <c r="B20" s="167" t="s">
        <v>423</v>
      </c>
      <c r="C20" s="159" t="s">
        <v>73</v>
      </c>
      <c r="D20" s="169" t="s">
        <v>86</v>
      </c>
      <c r="E20" s="102">
        <v>2</v>
      </c>
      <c r="G20" s="103">
        <v>28</v>
      </c>
    </row>
    <row r="21" spans="1:7" ht="56.45" customHeight="1" x14ac:dyDescent="0.2">
      <c r="B21" s="167" t="s">
        <v>424</v>
      </c>
      <c r="C21" s="159" t="s">
        <v>405</v>
      </c>
      <c r="D21" s="168" t="s">
        <v>40</v>
      </c>
      <c r="E21" s="102">
        <v>3</v>
      </c>
      <c r="G21" s="103">
        <v>26</v>
      </c>
    </row>
    <row r="22" spans="1:7" ht="39" customHeight="1" x14ac:dyDescent="0.2">
      <c r="B22" s="167" t="s">
        <v>425</v>
      </c>
      <c r="C22" s="170" t="s">
        <v>130</v>
      </c>
      <c r="D22" s="168" t="s">
        <v>87</v>
      </c>
      <c r="E22" s="102">
        <v>4</v>
      </c>
      <c r="G22" s="103">
        <v>19</v>
      </c>
    </row>
    <row r="23" spans="1:7" ht="27" customHeight="1" x14ac:dyDescent="0.2">
      <c r="B23" s="167" t="s">
        <v>426</v>
      </c>
      <c r="C23" s="170" t="s">
        <v>158</v>
      </c>
      <c r="D23" s="169" t="s">
        <v>41</v>
      </c>
      <c r="E23" s="102">
        <v>5</v>
      </c>
      <c r="G23" s="103">
        <v>20</v>
      </c>
    </row>
    <row r="24" spans="1:7" ht="40.5" customHeight="1" x14ac:dyDescent="0.2">
      <c r="B24" s="167" t="s">
        <v>427</v>
      </c>
      <c r="C24" s="170" t="s">
        <v>131</v>
      </c>
      <c r="D24" s="168" t="s">
        <v>136</v>
      </c>
      <c r="E24" s="102">
        <v>6</v>
      </c>
      <c r="G24" s="103">
        <v>21</v>
      </c>
    </row>
    <row r="25" spans="1:7" ht="28.5" customHeight="1" x14ac:dyDescent="0.2">
      <c r="B25" s="171" t="s">
        <v>435</v>
      </c>
      <c r="C25" s="159" t="s">
        <v>132</v>
      </c>
      <c r="D25" s="172" t="s">
        <v>487</v>
      </c>
    </row>
    <row r="26" spans="1:7" ht="26.25" customHeight="1" x14ac:dyDescent="0.2">
      <c r="B26" s="171" t="s">
        <v>436</v>
      </c>
      <c r="C26" s="159" t="s">
        <v>133</v>
      </c>
      <c r="D26" s="172" t="s">
        <v>488</v>
      </c>
    </row>
    <row r="27" spans="1:7" ht="43.9" customHeight="1" x14ac:dyDescent="0.2">
      <c r="B27" s="171" t="s">
        <v>144</v>
      </c>
      <c r="C27" s="159" t="s">
        <v>134</v>
      </c>
      <c r="D27" s="168" t="s">
        <v>135</v>
      </c>
      <c r="E27" s="102">
        <v>6</v>
      </c>
      <c r="G27" s="103">
        <v>21</v>
      </c>
    </row>
    <row r="28" spans="1:7" ht="27.75" customHeight="1" x14ac:dyDescent="0.2">
      <c r="B28" s="167" t="s">
        <v>460</v>
      </c>
      <c r="C28" s="159" t="s">
        <v>137</v>
      </c>
      <c r="D28" s="169" t="s">
        <v>88</v>
      </c>
      <c r="E28" s="102">
        <v>8</v>
      </c>
      <c r="G28" s="103">
        <v>47</v>
      </c>
    </row>
    <row r="29" spans="1:7" ht="96" customHeight="1" x14ac:dyDescent="0.2">
      <c r="A29" s="10"/>
      <c r="B29" s="167" t="s">
        <v>463</v>
      </c>
      <c r="C29" s="170" t="s">
        <v>138</v>
      </c>
      <c r="D29" s="173" t="s">
        <v>89</v>
      </c>
      <c r="E29" s="102">
        <v>22</v>
      </c>
      <c r="G29" s="103" t="s">
        <v>486</v>
      </c>
    </row>
    <row r="30" spans="1:7" s="10" customFormat="1" ht="70.900000000000006" customHeight="1" x14ac:dyDescent="0.2">
      <c r="B30" s="167" t="s">
        <v>463</v>
      </c>
      <c r="C30" s="170" t="s">
        <v>538</v>
      </c>
      <c r="D30" s="173" t="s">
        <v>90</v>
      </c>
      <c r="E30" s="102"/>
      <c r="F30" s="103"/>
      <c r="G30" s="103"/>
    </row>
    <row r="31" spans="1:7" ht="24" customHeight="1" x14ac:dyDescent="0.2">
      <c r="B31" s="174" t="s">
        <v>145</v>
      </c>
      <c r="C31" s="159" t="s">
        <v>539</v>
      </c>
      <c r="D31" s="163" t="s">
        <v>540</v>
      </c>
      <c r="E31" s="102">
        <v>9</v>
      </c>
    </row>
    <row r="32" spans="1:7" s="10" customFormat="1" ht="35.25" customHeight="1" x14ac:dyDescent="0.2">
      <c r="B32" s="171" t="s">
        <v>428</v>
      </c>
      <c r="C32" s="159" t="s">
        <v>541</v>
      </c>
      <c r="D32" s="163" t="s">
        <v>542</v>
      </c>
      <c r="E32" s="102"/>
      <c r="F32" s="103"/>
      <c r="G32" s="103"/>
    </row>
    <row r="33" spans="2:7" s="10" customFormat="1" ht="52.5" customHeight="1" x14ac:dyDescent="0.2">
      <c r="B33" s="171" t="s">
        <v>146</v>
      </c>
      <c r="C33" s="159" t="s">
        <v>159</v>
      </c>
      <c r="D33" s="163" t="s">
        <v>42</v>
      </c>
      <c r="E33" s="102"/>
      <c r="F33" s="103"/>
      <c r="G33" s="103"/>
    </row>
    <row r="34" spans="2:7" s="10" customFormat="1" ht="78.75" customHeight="1" x14ac:dyDescent="0.2">
      <c r="B34" s="174" t="s">
        <v>173</v>
      </c>
      <c r="C34" s="175" t="s">
        <v>543</v>
      </c>
      <c r="D34" s="160" t="s">
        <v>43</v>
      </c>
      <c r="E34" s="102">
        <v>25</v>
      </c>
      <c r="F34" s="103"/>
      <c r="G34" s="103"/>
    </row>
    <row r="35" spans="2:7" s="10" customFormat="1" ht="30" customHeight="1" x14ac:dyDescent="0.2">
      <c r="B35" s="174" t="s">
        <v>198</v>
      </c>
      <c r="C35" s="175" t="s">
        <v>544</v>
      </c>
      <c r="D35" s="160" t="s">
        <v>551</v>
      </c>
      <c r="E35" s="102"/>
      <c r="F35" s="103"/>
      <c r="G35" s="103"/>
    </row>
    <row r="36" spans="2:7" s="10" customFormat="1" ht="49.15" customHeight="1" x14ac:dyDescent="0.2">
      <c r="B36" s="174" t="s">
        <v>199</v>
      </c>
      <c r="C36" s="175" t="s">
        <v>91</v>
      </c>
      <c r="D36" s="160" t="s">
        <v>44</v>
      </c>
      <c r="E36" s="102"/>
      <c r="F36" s="103"/>
      <c r="G36" s="103"/>
    </row>
    <row r="37" spans="2:7" s="10" customFormat="1" ht="31.15" customHeight="1" x14ac:dyDescent="0.2">
      <c r="B37" s="180" t="s">
        <v>631</v>
      </c>
      <c r="C37" s="181" t="s">
        <v>547</v>
      </c>
      <c r="D37" s="179" t="s">
        <v>11</v>
      </c>
      <c r="E37" s="102"/>
      <c r="F37" s="103"/>
      <c r="G37" s="103"/>
    </row>
    <row r="38" spans="2:7" s="10" customFormat="1" ht="43.9" customHeight="1" x14ac:dyDescent="0.2">
      <c r="B38" s="180" t="s">
        <v>632</v>
      </c>
      <c r="C38" s="182" t="s">
        <v>644</v>
      </c>
      <c r="D38" s="179" t="s">
        <v>633</v>
      </c>
      <c r="E38" s="102"/>
      <c r="F38" s="103"/>
      <c r="G38" s="103"/>
    </row>
    <row r="39" spans="2:7" s="10" customFormat="1" ht="42" customHeight="1" x14ac:dyDescent="0.2">
      <c r="B39" s="174" t="s">
        <v>431</v>
      </c>
      <c r="C39" s="175" t="s">
        <v>552</v>
      </c>
      <c r="D39" s="160" t="s">
        <v>45</v>
      </c>
      <c r="E39" s="102"/>
      <c r="F39" s="103"/>
      <c r="G39" s="103"/>
    </row>
    <row r="40" spans="2:7" s="10" customFormat="1" ht="42" customHeight="1" x14ac:dyDescent="0.2">
      <c r="B40" s="174" t="s">
        <v>634</v>
      </c>
      <c r="C40" s="175" t="s">
        <v>635</v>
      </c>
      <c r="D40" s="160" t="s">
        <v>636</v>
      </c>
      <c r="E40" s="102"/>
      <c r="F40" s="103"/>
      <c r="G40" s="103"/>
    </row>
    <row r="41" spans="2:7" s="10" customFormat="1" ht="39" customHeight="1" x14ac:dyDescent="0.2">
      <c r="B41" s="174" t="s">
        <v>182</v>
      </c>
      <c r="C41" s="175" t="s">
        <v>553</v>
      </c>
      <c r="D41" s="160" t="s">
        <v>46</v>
      </c>
      <c r="E41" s="102">
        <v>51</v>
      </c>
      <c r="F41" s="103"/>
      <c r="G41" s="103"/>
    </row>
    <row r="42" spans="2:7" s="10" customFormat="1" ht="39" customHeight="1" x14ac:dyDescent="0.2">
      <c r="B42" s="174" t="s">
        <v>637</v>
      </c>
      <c r="C42" s="175" t="s">
        <v>638</v>
      </c>
      <c r="D42" s="160" t="s">
        <v>639</v>
      </c>
      <c r="E42" s="102"/>
      <c r="F42" s="103"/>
      <c r="G42" s="103"/>
    </row>
    <row r="43" spans="2:7" s="10" customFormat="1" ht="39.75" customHeight="1" x14ac:dyDescent="0.2">
      <c r="B43" s="174" t="s">
        <v>183</v>
      </c>
      <c r="C43" s="175" t="s">
        <v>554</v>
      </c>
      <c r="D43" s="160" t="s">
        <v>47</v>
      </c>
      <c r="E43" s="102"/>
      <c r="F43" s="103"/>
      <c r="G43" s="103"/>
    </row>
    <row r="44" spans="2:7" ht="15.75" customHeight="1" x14ac:dyDescent="0.2">
      <c r="B44" s="174" t="s">
        <v>184</v>
      </c>
      <c r="C44" s="170" t="s">
        <v>555</v>
      </c>
      <c r="D44" s="169" t="s">
        <v>556</v>
      </c>
      <c r="E44" s="102">
        <v>12</v>
      </c>
    </row>
    <row r="45" spans="2:7" ht="39" customHeight="1" x14ac:dyDescent="0.2">
      <c r="B45" s="174" t="s">
        <v>640</v>
      </c>
      <c r="C45" s="159" t="s">
        <v>557</v>
      </c>
      <c r="D45" s="169" t="s">
        <v>0</v>
      </c>
      <c r="E45" s="102">
        <v>13</v>
      </c>
    </row>
    <row r="46" spans="2:7" ht="31.5" customHeight="1" x14ac:dyDescent="0.2">
      <c r="B46" s="174" t="s">
        <v>185</v>
      </c>
      <c r="C46" s="170" t="s">
        <v>1</v>
      </c>
      <c r="D46" s="169" t="s">
        <v>2</v>
      </c>
      <c r="E46" s="102">
        <v>14</v>
      </c>
    </row>
    <row r="47" spans="2:7" ht="30.75" customHeight="1" x14ac:dyDescent="0.2">
      <c r="B47" s="174" t="s">
        <v>186</v>
      </c>
      <c r="C47" s="170" t="s">
        <v>3</v>
      </c>
      <c r="D47" s="169" t="s">
        <v>4</v>
      </c>
      <c r="E47" s="102">
        <v>15</v>
      </c>
    </row>
    <row r="48" spans="2:7" ht="27" customHeight="1" x14ac:dyDescent="0.2">
      <c r="B48" s="174" t="s">
        <v>140</v>
      </c>
      <c r="C48" s="159" t="s">
        <v>48</v>
      </c>
      <c r="D48" s="176" t="s">
        <v>5</v>
      </c>
      <c r="E48" s="102">
        <v>16</v>
      </c>
    </row>
    <row r="49" spans="1:7" ht="44.25" customHeight="1" x14ac:dyDescent="0.2">
      <c r="B49" s="174" t="s">
        <v>641</v>
      </c>
      <c r="C49" s="170" t="s">
        <v>6</v>
      </c>
      <c r="D49" s="160" t="s">
        <v>7</v>
      </c>
      <c r="E49" s="102">
        <v>17</v>
      </c>
    </row>
    <row r="50" spans="1:7" ht="45.6" customHeight="1" x14ac:dyDescent="0.2">
      <c r="B50" s="174" t="s">
        <v>141</v>
      </c>
      <c r="C50" s="159" t="s">
        <v>8</v>
      </c>
      <c r="D50" s="160" t="s">
        <v>9</v>
      </c>
      <c r="E50" s="102">
        <v>31</v>
      </c>
    </row>
    <row r="51" spans="1:7" ht="46.15" customHeight="1" x14ac:dyDescent="0.2">
      <c r="B51" s="174" t="s">
        <v>142</v>
      </c>
      <c r="C51" s="175" t="s">
        <v>10</v>
      </c>
      <c r="D51" s="160" t="s">
        <v>49</v>
      </c>
      <c r="E51" s="102">
        <v>52</v>
      </c>
    </row>
    <row r="52" spans="1:7" ht="39.75" customHeight="1" x14ac:dyDescent="0.2">
      <c r="B52" s="177" t="s">
        <v>432</v>
      </c>
      <c r="C52" s="178" t="s">
        <v>92</v>
      </c>
      <c r="D52" s="179" t="s">
        <v>93</v>
      </c>
    </row>
    <row r="53" spans="1:7" s="10" customFormat="1" ht="36.6" customHeight="1" x14ac:dyDescent="0.2">
      <c r="A53" s="2"/>
      <c r="B53" s="180" t="s">
        <v>642</v>
      </c>
      <c r="C53" s="182" t="s">
        <v>643</v>
      </c>
      <c r="D53" s="160" t="s">
        <v>645</v>
      </c>
      <c r="E53" s="102"/>
      <c r="F53" s="103"/>
      <c r="G53" s="103"/>
    </row>
    <row r="54" spans="1:7" s="10" customFormat="1" ht="34.15" customHeight="1" x14ac:dyDescent="0.2">
      <c r="A54" s="2"/>
      <c r="B54" s="180" t="s">
        <v>646</v>
      </c>
      <c r="C54" s="182" t="s">
        <v>12</v>
      </c>
      <c r="D54" s="179" t="s">
        <v>491</v>
      </c>
      <c r="E54" s="102"/>
      <c r="F54" s="103"/>
      <c r="G54" s="103"/>
    </row>
    <row r="55" spans="1:7" s="10" customFormat="1" ht="45" customHeight="1" x14ac:dyDescent="0.2">
      <c r="A55" s="2"/>
      <c r="B55" s="180" t="s">
        <v>647</v>
      </c>
      <c r="C55" s="182" t="s">
        <v>649</v>
      </c>
      <c r="D55" s="160" t="s">
        <v>650</v>
      </c>
      <c r="E55" s="102"/>
      <c r="F55" s="103"/>
      <c r="G55" s="103"/>
    </row>
    <row r="56" spans="1:7" s="10" customFormat="1" ht="49.15" customHeight="1" x14ac:dyDescent="0.2">
      <c r="A56" s="2"/>
      <c r="B56" s="180" t="s">
        <v>648</v>
      </c>
      <c r="C56" s="182" t="s">
        <v>13</v>
      </c>
      <c r="D56" s="160" t="s">
        <v>492</v>
      </c>
      <c r="E56" s="102"/>
      <c r="F56" s="103"/>
      <c r="G56" s="103"/>
    </row>
    <row r="57" spans="1:7" s="10" customFormat="1" ht="45" customHeight="1" x14ac:dyDescent="0.2">
      <c r="A57" s="2"/>
      <c r="B57" s="180" t="s">
        <v>651</v>
      </c>
      <c r="C57" s="182" t="s">
        <v>652</v>
      </c>
      <c r="D57" s="160" t="s">
        <v>653</v>
      </c>
      <c r="E57" s="102"/>
      <c r="F57" s="103"/>
      <c r="G57" s="103"/>
    </row>
    <row r="58" spans="1:7" s="10" customFormat="1" ht="34.5" customHeight="1" x14ac:dyDescent="0.2">
      <c r="A58" s="2"/>
      <c r="B58" s="171" t="s">
        <v>654</v>
      </c>
      <c r="C58" s="175" t="s">
        <v>14</v>
      </c>
      <c r="D58" s="160" t="s">
        <v>493</v>
      </c>
      <c r="E58" s="102"/>
      <c r="F58" s="103"/>
      <c r="G58" s="103"/>
    </row>
    <row r="59" spans="1:7" ht="42.75" customHeight="1" x14ac:dyDescent="0.2">
      <c r="A59" s="10"/>
      <c r="B59" s="174" t="s">
        <v>187</v>
      </c>
      <c r="C59" s="170" t="s">
        <v>50</v>
      </c>
      <c r="D59" s="160" t="s">
        <v>494</v>
      </c>
      <c r="E59" s="102">
        <v>27</v>
      </c>
    </row>
    <row r="60" spans="1:7" s="10" customFormat="1" ht="42" customHeight="1" x14ac:dyDescent="0.2">
      <c r="B60" s="174" t="s">
        <v>188</v>
      </c>
      <c r="C60" s="170" t="s">
        <v>51</v>
      </c>
      <c r="D60" s="160" t="s">
        <v>52</v>
      </c>
      <c r="E60" s="102">
        <v>30</v>
      </c>
      <c r="F60" s="103"/>
      <c r="G60" s="103"/>
    </row>
    <row r="61" spans="1:7" s="10" customFormat="1" ht="41.25" customHeight="1" x14ac:dyDescent="0.2">
      <c r="B61" s="174" t="s">
        <v>655</v>
      </c>
      <c r="C61" s="170" t="s">
        <v>549</v>
      </c>
      <c r="D61" s="169" t="s">
        <v>548</v>
      </c>
      <c r="E61" s="102">
        <v>29</v>
      </c>
      <c r="F61" s="103"/>
      <c r="G61" s="103"/>
    </row>
    <row r="62" spans="1:7" s="10" customFormat="1" ht="41.25" customHeight="1" x14ac:dyDescent="0.2">
      <c r="B62" s="174" t="s">
        <v>656</v>
      </c>
      <c r="C62" s="159" t="s">
        <v>495</v>
      </c>
      <c r="D62" s="169" t="s">
        <v>496</v>
      </c>
      <c r="E62" s="102"/>
      <c r="F62" s="103"/>
      <c r="G62" s="103"/>
    </row>
    <row r="63" spans="1:7" s="10" customFormat="1" ht="41.25" customHeight="1" x14ac:dyDescent="0.2">
      <c r="B63" s="174" t="s">
        <v>657</v>
      </c>
      <c r="C63" s="159" t="s">
        <v>497</v>
      </c>
      <c r="D63" s="169" t="s">
        <v>498</v>
      </c>
      <c r="E63" s="102"/>
      <c r="F63" s="103"/>
      <c r="G63" s="103"/>
    </row>
    <row r="64" spans="1:7" s="10" customFormat="1" ht="56.45" customHeight="1" x14ac:dyDescent="0.2">
      <c r="B64" s="174" t="s">
        <v>193</v>
      </c>
      <c r="C64" s="159" t="s">
        <v>499</v>
      </c>
      <c r="D64" s="169" t="s">
        <v>658</v>
      </c>
      <c r="E64" s="102">
        <v>18</v>
      </c>
      <c r="F64" s="103"/>
      <c r="G64" s="103"/>
    </row>
    <row r="65" spans="1:16" s="10" customFormat="1" ht="36" customHeight="1" x14ac:dyDescent="0.2">
      <c r="B65" s="174" t="s">
        <v>659</v>
      </c>
      <c r="C65" s="175" t="s">
        <v>500</v>
      </c>
      <c r="D65" s="163" t="s">
        <v>489</v>
      </c>
      <c r="E65" s="102"/>
      <c r="F65" s="103"/>
      <c r="G65" s="103"/>
    </row>
    <row r="66" spans="1:16" s="10" customFormat="1" ht="56.45" customHeight="1" x14ac:dyDescent="0.2">
      <c r="A66" s="2"/>
      <c r="B66" s="174" t="s">
        <v>660</v>
      </c>
      <c r="C66" s="170" t="s">
        <v>501</v>
      </c>
      <c r="D66" s="169" t="s">
        <v>94</v>
      </c>
      <c r="E66" s="102"/>
      <c r="F66" s="103"/>
      <c r="G66" s="103"/>
    </row>
    <row r="67" spans="1:16" s="10" customFormat="1" ht="57" customHeight="1" x14ac:dyDescent="0.2">
      <c r="A67" s="2"/>
      <c r="B67" s="174" t="s">
        <v>661</v>
      </c>
      <c r="C67" s="170" t="s">
        <v>502</v>
      </c>
      <c r="D67" s="169" t="s">
        <v>414</v>
      </c>
      <c r="E67" s="102"/>
      <c r="F67" s="103"/>
      <c r="G67" s="103"/>
    </row>
    <row r="68" spans="1:16" s="10" customFormat="1" ht="64.900000000000006" customHeight="1" x14ac:dyDescent="0.2">
      <c r="A68" s="2"/>
      <c r="B68" s="174" t="s">
        <v>662</v>
      </c>
      <c r="C68" s="170" t="s">
        <v>503</v>
      </c>
      <c r="D68" s="169" t="s">
        <v>53</v>
      </c>
      <c r="E68" s="102">
        <v>34</v>
      </c>
      <c r="F68" s="103"/>
      <c r="G68" s="103"/>
    </row>
    <row r="69" spans="1:16" ht="60" customHeight="1" x14ac:dyDescent="0.2">
      <c r="B69" s="174" t="s">
        <v>663</v>
      </c>
      <c r="C69" s="170" t="s">
        <v>504</v>
      </c>
      <c r="D69" s="169" t="s">
        <v>54</v>
      </c>
      <c r="E69" s="102">
        <v>35</v>
      </c>
    </row>
    <row r="70" spans="1:16" ht="77.45" customHeight="1" x14ac:dyDescent="0.2">
      <c r="B70" s="174" t="s">
        <v>664</v>
      </c>
      <c r="C70" s="170" t="s">
        <v>505</v>
      </c>
      <c r="D70" s="169" t="s">
        <v>55</v>
      </c>
      <c r="E70" s="102">
        <v>53</v>
      </c>
    </row>
    <row r="71" spans="1:16" ht="60" customHeight="1" x14ac:dyDescent="0.2">
      <c r="A71" s="108"/>
      <c r="B71" s="174" t="s">
        <v>665</v>
      </c>
      <c r="C71" s="170" t="s">
        <v>550</v>
      </c>
      <c r="D71" s="169" t="s">
        <v>410</v>
      </c>
      <c r="E71" s="102">
        <v>36</v>
      </c>
    </row>
    <row r="72" spans="1:16" s="19" customFormat="1" ht="51" x14ac:dyDescent="0.2">
      <c r="A72" s="2"/>
      <c r="B72" s="174" t="s">
        <v>666</v>
      </c>
      <c r="C72" s="170" t="s">
        <v>506</v>
      </c>
      <c r="D72" s="169" t="s">
        <v>507</v>
      </c>
      <c r="E72" s="102">
        <v>42</v>
      </c>
      <c r="F72" s="105"/>
      <c r="G72" s="105"/>
    </row>
    <row r="73" spans="1:16" ht="36.6" customHeight="1" x14ac:dyDescent="0.2">
      <c r="B73" s="174" t="s">
        <v>189</v>
      </c>
      <c r="C73" s="170" t="s">
        <v>411</v>
      </c>
      <c r="D73" s="169" t="s">
        <v>508</v>
      </c>
      <c r="E73" s="102">
        <v>43</v>
      </c>
    </row>
    <row r="74" spans="1:16" ht="36.6" customHeight="1" x14ac:dyDescent="0.2">
      <c r="A74" s="10"/>
      <c r="B74" s="174" t="s">
        <v>190</v>
      </c>
      <c r="C74" s="170" t="s">
        <v>162</v>
      </c>
      <c r="D74" s="169" t="s">
        <v>509</v>
      </c>
      <c r="E74" s="102">
        <v>44</v>
      </c>
    </row>
    <row r="75" spans="1:16" ht="45.6" customHeight="1" x14ac:dyDescent="0.2">
      <c r="A75" s="10"/>
      <c r="B75" s="174" t="s">
        <v>191</v>
      </c>
      <c r="C75" s="170" t="s">
        <v>56</v>
      </c>
      <c r="D75" s="169" t="s">
        <v>510</v>
      </c>
      <c r="E75" s="102">
        <v>45</v>
      </c>
    </row>
    <row r="76" spans="1:16" s="10" customFormat="1" ht="27.75" customHeight="1" x14ac:dyDescent="0.2">
      <c r="B76" s="174" t="s">
        <v>192</v>
      </c>
      <c r="C76" s="170" t="s">
        <v>511</v>
      </c>
      <c r="D76" s="169" t="s">
        <v>512</v>
      </c>
      <c r="E76" s="102">
        <v>46</v>
      </c>
      <c r="F76" s="103"/>
      <c r="G76" s="103"/>
    </row>
    <row r="77" spans="1:16" s="10" customFormat="1" ht="27.75" customHeight="1" x14ac:dyDescent="0.2">
      <c r="A77" s="2"/>
      <c r="B77" s="171"/>
      <c r="C77" s="170" t="s">
        <v>513</v>
      </c>
      <c r="D77" s="169" t="s">
        <v>119</v>
      </c>
      <c r="E77" s="102">
        <v>48</v>
      </c>
      <c r="F77" s="103"/>
      <c r="G77" s="103"/>
    </row>
    <row r="78" spans="1:16" ht="34.15" customHeight="1" x14ac:dyDescent="0.2">
      <c r="B78" s="171"/>
      <c r="C78" s="183" t="s">
        <v>514</v>
      </c>
      <c r="D78" s="184" t="s">
        <v>390</v>
      </c>
      <c r="E78" s="102">
        <v>49</v>
      </c>
      <c r="H78" s="10"/>
      <c r="I78" s="10"/>
      <c r="J78" s="10"/>
      <c r="K78" s="10"/>
      <c r="L78" s="10"/>
      <c r="M78" s="10"/>
      <c r="N78" s="10"/>
      <c r="O78" s="10"/>
      <c r="P78" s="10"/>
    </row>
    <row r="79" spans="1:16" ht="30.6" customHeight="1" thickBot="1" x14ac:dyDescent="0.25">
      <c r="B79" s="185"/>
      <c r="C79" s="186" t="s">
        <v>515</v>
      </c>
      <c r="D79" s="187" t="s">
        <v>392</v>
      </c>
      <c r="E79" s="102">
        <v>50</v>
      </c>
      <c r="H79" s="10"/>
      <c r="I79" s="10"/>
      <c r="J79" s="10"/>
      <c r="K79" s="10"/>
      <c r="L79" s="10"/>
      <c r="M79" s="10"/>
      <c r="N79" s="10"/>
      <c r="O79" s="10"/>
      <c r="P79" s="10"/>
    </row>
    <row r="80" spans="1:16" x14ac:dyDescent="0.2">
      <c r="B80" s="101"/>
      <c r="C80" s="40"/>
      <c r="D80" s="40"/>
    </row>
    <row r="81" spans="2:4" x14ac:dyDescent="0.2">
      <c r="B81" s="101"/>
      <c r="C81" s="40"/>
      <c r="D81" s="40"/>
    </row>
    <row r="82" spans="2:4" x14ac:dyDescent="0.2">
      <c r="B82" s="101"/>
      <c r="C82" s="40"/>
      <c r="D82" s="40"/>
    </row>
    <row r="83" spans="2:4" x14ac:dyDescent="0.2">
      <c r="B83" s="101"/>
      <c r="C83" s="40"/>
      <c r="D83" s="40"/>
    </row>
    <row r="84" spans="2:4" x14ac:dyDescent="0.2">
      <c r="B84" s="101"/>
      <c r="C84" s="40"/>
      <c r="D84" s="40"/>
    </row>
    <row r="85" spans="2:4" x14ac:dyDescent="0.2">
      <c r="B85" s="101"/>
      <c r="C85" s="40"/>
      <c r="D85" s="40"/>
    </row>
    <row r="86" spans="2:4" x14ac:dyDescent="0.2">
      <c r="B86" s="101"/>
      <c r="C86" s="40"/>
      <c r="D86" s="40"/>
    </row>
    <row r="87" spans="2:4" x14ac:dyDescent="0.2">
      <c r="B87" s="101"/>
      <c r="C87" s="40"/>
      <c r="D87" s="40"/>
    </row>
    <row r="88" spans="2:4" x14ac:dyDescent="0.2">
      <c r="B88" s="101"/>
      <c r="C88" s="40"/>
      <c r="D88" s="40"/>
    </row>
    <row r="89" spans="2:4" x14ac:dyDescent="0.2">
      <c r="B89" s="101"/>
      <c r="C89" s="40"/>
      <c r="D89" s="40"/>
    </row>
    <row r="90" spans="2:4" x14ac:dyDescent="0.2">
      <c r="B90" s="101"/>
      <c r="C90" s="40"/>
      <c r="D90" s="40"/>
    </row>
    <row r="91" spans="2:4" x14ac:dyDescent="0.2">
      <c r="B91" s="101"/>
      <c r="C91" s="40"/>
      <c r="D91" s="40"/>
    </row>
    <row r="92" spans="2:4" x14ac:dyDescent="0.2">
      <c r="B92" s="101"/>
      <c r="C92" s="40"/>
      <c r="D92" s="40"/>
    </row>
    <row r="93" spans="2:4" x14ac:dyDescent="0.2">
      <c r="B93" s="101"/>
      <c r="C93" s="40"/>
      <c r="D93" s="40"/>
    </row>
    <row r="94" spans="2:4" x14ac:dyDescent="0.2">
      <c r="B94" s="101"/>
      <c r="C94" s="40"/>
      <c r="D94" s="40"/>
    </row>
    <row r="95" spans="2:4" x14ac:dyDescent="0.2">
      <c r="B95" s="101"/>
      <c r="C95" s="40"/>
      <c r="D95" s="40"/>
    </row>
    <row r="96" spans="2:4" x14ac:dyDescent="0.2">
      <c r="B96" s="101"/>
      <c r="C96" s="40"/>
      <c r="D96" s="40"/>
    </row>
    <row r="97" spans="2:4" x14ac:dyDescent="0.2">
      <c r="B97" s="101"/>
      <c r="C97" s="40"/>
      <c r="D97" s="40"/>
    </row>
    <row r="98" spans="2:4" x14ac:dyDescent="0.2">
      <c r="B98" s="101"/>
      <c r="C98" s="40"/>
      <c r="D98" s="40"/>
    </row>
    <row r="99" spans="2:4" x14ac:dyDescent="0.2">
      <c r="B99" s="101"/>
      <c r="C99" s="40"/>
      <c r="D99" s="40"/>
    </row>
    <row r="100" spans="2:4" x14ac:dyDescent="0.2">
      <c r="B100" s="101"/>
      <c r="C100" s="40"/>
      <c r="D100" s="40"/>
    </row>
    <row r="101" spans="2:4" x14ac:dyDescent="0.2">
      <c r="B101" s="101"/>
      <c r="C101" s="40"/>
      <c r="D101" s="40"/>
    </row>
    <row r="102" spans="2:4" x14ac:dyDescent="0.2">
      <c r="B102" s="101"/>
      <c r="C102" s="40"/>
      <c r="D102" s="40"/>
    </row>
    <row r="103" spans="2:4" x14ac:dyDescent="0.2">
      <c r="B103" s="101"/>
      <c r="C103" s="40"/>
      <c r="D103" s="40"/>
    </row>
  </sheetData>
  <sheetProtection sheet="1"/>
  <mergeCells count="4">
    <mergeCell ref="B3:D3"/>
    <mergeCell ref="B5:D5"/>
    <mergeCell ref="B17:D17"/>
    <mergeCell ref="B6:D6"/>
  </mergeCells>
  <phoneticPr fontId="10" type="noConversion"/>
  <printOptions horizontalCentered="1"/>
  <pageMargins left="0.5" right="0.5" top="0.75" bottom="0.75" header="0.5" footer="0.5"/>
  <pageSetup paperSize="9" scale="91" firstPageNumber="6" fitToHeight="0" orientation="landscape" r:id="rId1"/>
  <headerFooter alignWithMargins="0">
    <oddFooter>&amp;C&amp;"Arial,Regular"UNSD/Programa de las Naciones Unidas para el Medio Ambiente Cuestionario 2018 Estadisticas Ambientales -  Sección del Agua -  &amp;P</oddFooter>
  </headerFooter>
  <rowBreaks count="6" manualBreakCount="6">
    <brk id="13" min="1" max="3" man="1"/>
    <brk id="28" min="1" max="3" man="1"/>
    <brk id="36" min="1" max="3" man="1"/>
    <brk id="49" min="1" max="3" man="1"/>
    <brk id="59" min="1" max="3" man="1"/>
    <brk id="68"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DS66"/>
  <sheetViews>
    <sheetView showGridLines="0" zoomScale="55" zoomScaleNormal="55" zoomScaleSheetLayoutView="55" zoomScalePageLayoutView="40" workbookViewId="0"/>
  </sheetViews>
  <sheetFormatPr defaultColWidth="9.33203125" defaultRowHeight="12.75" x14ac:dyDescent="0.2"/>
  <cols>
    <col min="1" max="2" width="2.5" style="47" customWidth="1"/>
    <col min="3" max="3" width="2" style="47" customWidth="1"/>
    <col min="4" max="4" width="2.33203125" style="47" customWidth="1"/>
    <col min="5" max="5" width="18.6640625" style="47" customWidth="1"/>
    <col min="6" max="6" width="19" style="47" customWidth="1"/>
    <col min="7" max="7" width="19.33203125" style="47" customWidth="1"/>
    <col min="8" max="10" width="19.83203125" style="47" customWidth="1"/>
    <col min="11" max="11" width="19.1640625" style="47" customWidth="1"/>
    <col min="12" max="12" width="21.5" style="47" customWidth="1"/>
    <col min="13" max="13" width="2.1640625" style="47" customWidth="1"/>
    <col min="14" max="14" width="8.33203125" style="47" customWidth="1"/>
    <col min="15" max="15" width="3.1640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5" style="47" customWidth="1"/>
    <col min="23" max="23" width="6.33203125" style="47" customWidth="1"/>
    <col min="24" max="24" width="2.6640625" style="47" customWidth="1"/>
    <col min="25" max="25" width="12" style="47" bestFit="1" customWidth="1"/>
    <col min="26" max="26" width="8.1640625" style="47" customWidth="1"/>
    <col min="27" max="27" width="17" style="47" customWidth="1"/>
    <col min="28" max="28" width="2.33203125" style="47" customWidth="1"/>
    <col min="29" max="29" width="12" style="47" bestFit="1" customWidth="1"/>
    <col min="30" max="30" width="8.5" style="47" customWidth="1"/>
    <col min="31" max="31" width="16.6640625" style="47" customWidth="1"/>
    <col min="32" max="32" width="2.6640625" style="47" customWidth="1"/>
    <col min="33" max="33" width="12" style="47" bestFit="1" customWidth="1"/>
    <col min="34" max="34" width="8.83203125" style="47" customWidth="1"/>
    <col min="35" max="35" width="17.6640625" style="47" customWidth="1"/>
    <col min="36" max="36" width="2.1640625" style="47" customWidth="1"/>
    <col min="37" max="37" width="12" style="47" bestFit="1" customWidth="1"/>
    <col min="38" max="38" width="3.1640625" style="47" customWidth="1"/>
    <col min="39" max="39" width="11.83203125" style="47" customWidth="1"/>
    <col min="40" max="40" width="4" style="47" customWidth="1"/>
    <col min="41" max="41" width="11.5" style="47" customWidth="1"/>
    <col min="42" max="42" width="2.5" style="47" customWidth="1"/>
    <col min="43" max="43" width="9.33203125" style="47" customWidth="1"/>
    <col min="44" max="44" width="2" style="47" customWidth="1"/>
    <col min="45" max="45" width="2.6640625" style="47" customWidth="1"/>
    <col min="46" max="16384" width="9.33203125" style="47"/>
  </cols>
  <sheetData>
    <row r="1" spans="1:123" ht="15.75" x14ac:dyDescent="0.25">
      <c r="A1" s="45"/>
      <c r="B1" s="45"/>
      <c r="C1" s="45"/>
      <c r="D1" s="45"/>
      <c r="E1" s="46" t="s">
        <v>395</v>
      </c>
      <c r="F1" s="46"/>
      <c r="G1" s="46"/>
      <c r="H1" s="46"/>
      <c r="I1" s="46"/>
      <c r="J1" s="46"/>
      <c r="K1" s="46"/>
      <c r="L1" s="46"/>
      <c r="M1" s="46"/>
      <c r="N1" s="46"/>
      <c r="O1" s="46"/>
      <c r="P1" s="46"/>
      <c r="Q1" s="46"/>
      <c r="R1" s="46"/>
      <c r="S1" s="46"/>
      <c r="T1" s="46"/>
      <c r="U1" s="46"/>
      <c r="V1" s="46"/>
      <c r="W1" s="46"/>
      <c r="X1" s="46"/>
      <c r="Y1" s="91"/>
      <c r="Z1" s="91"/>
      <c r="AA1" s="91"/>
      <c r="AB1" s="91"/>
      <c r="AC1" s="91"/>
      <c r="AD1" s="91"/>
      <c r="AE1" s="91"/>
      <c r="AF1" s="91"/>
      <c r="AG1" s="91"/>
      <c r="AH1" s="91"/>
      <c r="AI1" s="91"/>
      <c r="AJ1" s="91"/>
      <c r="AK1" s="91"/>
      <c r="AL1" s="91"/>
      <c r="AM1" s="91"/>
      <c r="AN1" s="91"/>
      <c r="AO1" s="91"/>
      <c r="AP1" s="91"/>
      <c r="AQ1" s="91"/>
      <c r="AR1" s="91"/>
      <c r="AS1" s="91"/>
      <c r="AT1" s="92"/>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x14ac:dyDescent="0.2">
      <c r="A2" s="106"/>
      <c r="B2" s="106"/>
      <c r="C2" s="106"/>
      <c r="D2" s="106"/>
      <c r="E2" s="765" t="s">
        <v>516</v>
      </c>
      <c r="F2" s="765"/>
      <c r="G2" s="765"/>
      <c r="H2" s="765"/>
      <c r="I2" s="765"/>
      <c r="J2" s="765"/>
      <c r="K2" s="765"/>
      <c r="L2" s="765"/>
      <c r="M2" s="765"/>
      <c r="N2" s="765"/>
      <c r="O2" s="765"/>
      <c r="P2" s="765"/>
      <c r="Q2" s="765"/>
      <c r="R2" s="765"/>
      <c r="S2" s="765"/>
      <c r="T2" s="765"/>
      <c r="U2" s="765"/>
      <c r="V2" s="765"/>
      <c r="W2" s="765"/>
      <c r="X2" s="765"/>
      <c r="Y2" s="94"/>
      <c r="Z2" s="94"/>
      <c r="AA2" s="94"/>
      <c r="AB2" s="94"/>
      <c r="AC2" s="94"/>
      <c r="AD2" s="94"/>
      <c r="AE2" s="94"/>
      <c r="AF2" s="53"/>
      <c r="AG2" s="93"/>
      <c r="AH2" s="110"/>
      <c r="AI2" s="110"/>
      <c r="AJ2" s="110"/>
      <c r="AK2" s="110"/>
      <c r="AL2" s="110"/>
      <c r="AM2" s="110"/>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row>
    <row r="3" spans="1:123" x14ac:dyDescent="0.2">
      <c r="A3" s="45"/>
      <c r="B3" s="45"/>
      <c r="C3" s="45"/>
      <c r="D3" s="45"/>
      <c r="E3" s="188"/>
      <c r="F3" s="189"/>
      <c r="G3" s="189"/>
      <c r="H3" s="190"/>
      <c r="I3" s="190"/>
      <c r="J3" s="190"/>
      <c r="K3" s="127"/>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92"/>
      <c r="AO3" s="92"/>
      <c r="AP3" s="92"/>
      <c r="AQ3" s="92"/>
      <c r="AR3" s="92"/>
      <c r="AS3" s="92"/>
      <c r="AT3" s="92"/>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75" x14ac:dyDescent="0.25">
      <c r="A4" s="45"/>
      <c r="B4" s="45"/>
      <c r="C4" s="45"/>
      <c r="D4" s="45"/>
      <c r="E4" s="766" t="s">
        <v>517</v>
      </c>
      <c r="F4" s="766"/>
      <c r="G4" s="766"/>
      <c r="H4" s="766"/>
      <c r="I4" s="766"/>
      <c r="J4" s="766"/>
      <c r="K4" s="766"/>
      <c r="L4" s="766"/>
      <c r="M4" s="766"/>
      <c r="N4" s="766"/>
      <c r="O4" s="766"/>
      <c r="P4" s="766"/>
      <c r="Q4" s="766"/>
      <c r="R4" s="766"/>
      <c r="S4" s="766"/>
      <c r="T4" s="766"/>
      <c r="U4" s="766"/>
      <c r="V4" s="766"/>
      <c r="W4" s="766"/>
      <c r="X4" s="766"/>
      <c r="Y4" s="91"/>
      <c r="Z4" s="91"/>
      <c r="AA4" s="91"/>
      <c r="AB4" s="91"/>
      <c r="AC4" s="91"/>
      <c r="AD4" s="91"/>
      <c r="AE4" s="91"/>
      <c r="AF4" s="91"/>
      <c r="AG4" s="91"/>
      <c r="AH4" s="91"/>
      <c r="AI4" s="91"/>
      <c r="AJ4" s="91"/>
      <c r="AK4" s="91"/>
      <c r="AL4" s="91"/>
      <c r="AM4" s="91"/>
      <c r="AN4" s="91"/>
      <c r="AO4" s="91"/>
      <c r="AP4" s="91"/>
      <c r="AQ4" s="91"/>
      <c r="AR4" s="91"/>
      <c r="AS4" s="91"/>
      <c r="AT4" s="92"/>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x14ac:dyDescent="0.25">
      <c r="A5" s="45"/>
      <c r="B5" s="45"/>
      <c r="C5" s="45"/>
      <c r="D5" s="45"/>
      <c r="E5" s="45"/>
      <c r="F5" s="45"/>
      <c r="G5" s="45"/>
      <c r="H5" s="45"/>
      <c r="I5" s="45"/>
      <c r="J5" s="45"/>
      <c r="K5" s="45"/>
      <c r="L5" s="45"/>
      <c r="M5" s="45"/>
      <c r="N5" s="45"/>
      <c r="O5" s="45"/>
      <c r="P5" s="45"/>
      <c r="Q5" s="45"/>
      <c r="R5" s="45"/>
      <c r="S5" s="45"/>
      <c r="T5" s="45"/>
      <c r="U5" s="45"/>
      <c r="V5" s="45"/>
      <c r="W5" s="45"/>
      <c r="X5" s="45"/>
      <c r="Y5" s="92"/>
      <c r="Z5" s="92"/>
      <c r="AA5" s="92"/>
      <c r="AB5" s="92"/>
      <c r="AC5" s="92"/>
      <c r="AD5" s="92"/>
      <c r="AE5" s="92"/>
      <c r="AF5" s="92"/>
      <c r="AG5" s="92"/>
      <c r="AH5" s="92"/>
      <c r="AI5" s="92"/>
      <c r="AJ5" s="92"/>
      <c r="AK5" s="92"/>
      <c r="AL5" s="92"/>
      <c r="AM5" s="92"/>
      <c r="AN5" s="92"/>
      <c r="AO5" s="92"/>
      <c r="AP5" s="92"/>
      <c r="AQ5" s="92"/>
      <c r="AR5" s="92"/>
      <c r="AS5" s="92"/>
      <c r="AT5" s="9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x14ac:dyDescent="0.25">
      <c r="A6" s="45"/>
      <c r="B6" s="45"/>
      <c r="C6" s="56"/>
      <c r="D6" s="66"/>
      <c r="E6" s="57"/>
      <c r="F6" s="58"/>
      <c r="G6" s="58"/>
      <c r="H6" s="57"/>
      <c r="I6" s="57"/>
      <c r="J6" s="57"/>
      <c r="K6" s="58"/>
      <c r="L6" s="58"/>
      <c r="M6" s="58"/>
      <c r="N6" s="58"/>
      <c r="O6" s="58"/>
      <c r="P6" s="58"/>
      <c r="Q6" s="58"/>
      <c r="R6" s="59"/>
      <c r="S6" s="58"/>
      <c r="T6" s="58"/>
      <c r="U6" s="58"/>
      <c r="V6" s="58"/>
      <c r="W6" s="58"/>
      <c r="X6" s="60"/>
      <c r="Y6" s="92"/>
      <c r="Z6" s="92"/>
      <c r="AA6" s="92"/>
      <c r="AB6" s="92"/>
      <c r="AC6" s="92"/>
      <c r="AD6" s="92"/>
      <c r="AE6" s="92"/>
      <c r="AF6" s="92"/>
      <c r="AG6" s="92"/>
      <c r="AH6" s="92"/>
      <c r="AI6" s="92"/>
      <c r="AJ6" s="92"/>
      <c r="AK6" s="92"/>
      <c r="AL6" s="92"/>
      <c r="AM6" s="92"/>
      <c r="AN6" s="92"/>
      <c r="AO6" s="92"/>
      <c r="AP6" s="92"/>
      <c r="AQ6" s="92"/>
      <c r="AR6" s="92"/>
      <c r="AS6" s="92"/>
      <c r="AT6" s="92"/>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x14ac:dyDescent="0.2">
      <c r="A7" s="45"/>
      <c r="B7" s="45"/>
      <c r="C7" s="61"/>
      <c r="D7" s="68"/>
      <c r="E7" s="69"/>
      <c r="F7" s="70"/>
      <c r="G7" s="70"/>
      <c r="H7" s="70"/>
      <c r="I7" s="70"/>
      <c r="J7" s="70"/>
      <c r="K7" s="70"/>
      <c r="L7" s="70"/>
      <c r="M7" s="70"/>
      <c r="N7" s="70"/>
      <c r="O7" s="70"/>
      <c r="P7" s="70"/>
      <c r="Q7" s="70"/>
      <c r="R7" s="70"/>
      <c r="S7" s="70"/>
      <c r="T7" s="71"/>
      <c r="U7" s="70"/>
      <c r="V7" s="70"/>
      <c r="W7" s="72"/>
      <c r="X7" s="62"/>
      <c r="Y7" s="92"/>
      <c r="Z7" s="92"/>
      <c r="AA7" s="92"/>
      <c r="AB7" s="92"/>
      <c r="AC7" s="92"/>
      <c r="AD7" s="92"/>
      <c r="AE7" s="92"/>
      <c r="AF7" s="92"/>
      <c r="AG7" s="92"/>
      <c r="AH7" s="92"/>
      <c r="AI7" s="92"/>
      <c r="AJ7" s="92"/>
      <c r="AK7" s="92"/>
      <c r="AL7" s="92"/>
      <c r="AM7" s="92"/>
      <c r="AN7" s="92"/>
      <c r="AO7" s="92"/>
      <c r="AP7" s="92"/>
      <c r="AQ7" s="92"/>
      <c r="AR7" s="92"/>
      <c r="AS7" s="92"/>
      <c r="AT7" s="92"/>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23" ht="43.5" customHeight="1" x14ac:dyDescent="0.2">
      <c r="A8" s="45"/>
      <c r="B8" s="45"/>
      <c r="C8" s="61"/>
      <c r="D8" s="73"/>
      <c r="E8" s="50"/>
      <c r="F8" s="83"/>
      <c r="G8" s="84" t="str">
        <f>'W1'!D8&amp;" (W1,1)"</f>
        <v>Precipitación                              (W1,1)</v>
      </c>
      <c r="H8" s="84" t="str">
        <f>'W1'!D9&amp;" (W1,2)"</f>
        <v>Evapotranspiración real (W1,2)</v>
      </c>
      <c r="I8" s="37"/>
      <c r="J8" s="37"/>
      <c r="K8" s="83"/>
      <c r="L8" s="83"/>
      <c r="M8" s="83"/>
      <c r="N8" s="83"/>
      <c r="O8" s="83"/>
      <c r="P8" s="83"/>
      <c r="Q8" s="83"/>
      <c r="R8" s="83"/>
      <c r="S8" s="83"/>
      <c r="T8" s="83"/>
      <c r="U8" s="83"/>
      <c r="V8" s="83"/>
      <c r="W8" s="74"/>
      <c r="X8" s="62"/>
      <c r="Y8" s="92"/>
      <c r="Z8" s="92"/>
      <c r="AA8" s="92"/>
      <c r="AB8" s="92"/>
      <c r="AC8" s="92"/>
      <c r="AD8" s="92"/>
      <c r="AE8" s="92"/>
      <c r="AF8" s="92"/>
      <c r="AG8" s="92"/>
      <c r="AH8" s="92"/>
      <c r="AI8" s="92"/>
      <c r="AJ8" s="92"/>
      <c r="AK8" s="92"/>
      <c r="AL8" s="92"/>
      <c r="AM8" s="92"/>
      <c r="AN8" s="92"/>
      <c r="AO8" s="92"/>
      <c r="AP8" s="92"/>
      <c r="AQ8" s="92"/>
      <c r="AR8" s="92"/>
      <c r="AS8" s="92"/>
      <c r="AT8" s="92"/>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23" x14ac:dyDescent="0.2">
      <c r="A9" s="45"/>
      <c r="B9" s="45"/>
      <c r="C9" s="61"/>
      <c r="D9" s="73"/>
      <c r="E9" s="85"/>
      <c r="F9" s="83"/>
      <c r="G9" s="86"/>
      <c r="H9" s="86"/>
      <c r="I9" s="86"/>
      <c r="J9" s="86"/>
      <c r="K9" s="83"/>
      <c r="L9" s="83"/>
      <c r="M9" s="83"/>
      <c r="N9" s="83"/>
      <c r="O9" s="83"/>
      <c r="P9" s="83"/>
      <c r="Q9" s="83"/>
      <c r="R9" s="83"/>
      <c r="S9" s="83"/>
      <c r="T9" s="83"/>
      <c r="U9" s="83"/>
      <c r="V9" s="83"/>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23" ht="6" customHeight="1" x14ac:dyDescent="0.2">
      <c r="A10" s="45"/>
      <c r="B10" s="45"/>
      <c r="C10" s="61"/>
      <c r="D10" s="73"/>
      <c r="E10" s="50"/>
      <c r="F10" s="83"/>
      <c r="G10" s="83"/>
      <c r="H10" s="83"/>
      <c r="I10" s="83"/>
      <c r="J10" s="83"/>
      <c r="K10" s="83"/>
      <c r="L10" s="83"/>
      <c r="M10" s="83"/>
      <c r="N10" s="83"/>
      <c r="O10" s="83"/>
      <c r="P10" s="83"/>
      <c r="Q10" s="83"/>
      <c r="R10" s="83"/>
      <c r="S10" s="83"/>
      <c r="T10" s="83"/>
      <c r="U10" s="83"/>
      <c r="V10" s="83"/>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23" ht="27" customHeight="1" x14ac:dyDescent="0.2">
      <c r="A11" s="45"/>
      <c r="B11" s="45"/>
      <c r="C11" s="61"/>
      <c r="D11" s="73"/>
      <c r="E11" s="50"/>
      <c r="F11" s="83"/>
      <c r="G11" s="756" t="str">
        <f>LEFT('W1'!D10,LEN('W1'!D10)-7)&amp;" (W1,3)"</f>
        <v>Flujo interno (W1,3)</v>
      </c>
      <c r="H11" s="758"/>
      <c r="I11" s="644"/>
      <c r="J11" s="644"/>
      <c r="K11" s="83"/>
      <c r="M11" s="83"/>
      <c r="N11" s="83"/>
      <c r="O11" s="83"/>
      <c r="P11" s="83"/>
      <c r="Q11" s="83"/>
      <c r="R11" s="759" t="s">
        <v>460</v>
      </c>
      <c r="S11" s="761" t="s">
        <v>463</v>
      </c>
      <c r="T11" s="762"/>
      <c r="U11" s="83"/>
      <c r="V11" s="83"/>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23" s="48" customFormat="1" ht="30" customHeight="1" x14ac:dyDescent="0.2">
      <c r="A12" s="45"/>
      <c r="B12" s="45"/>
      <c r="C12" s="61"/>
      <c r="D12" s="73"/>
      <c r="E12" s="50"/>
      <c r="F12" s="86"/>
      <c r="G12" s="86"/>
      <c r="H12" s="86"/>
      <c r="I12" s="86"/>
      <c r="J12" s="86"/>
      <c r="K12" s="86"/>
      <c r="L12" s="756" t="str">
        <f>'W1'!D13&amp;" (W1,6)"</f>
        <v>Caudal de salida de aguas superficiales y subterráneas hacia países vecinos (W1,6)</v>
      </c>
      <c r="M12" s="757"/>
      <c r="N12" s="758"/>
      <c r="O12" s="86"/>
      <c r="P12" s="83"/>
      <c r="Q12" s="83"/>
      <c r="R12" s="760"/>
      <c r="S12" s="763"/>
      <c r="T12" s="764"/>
      <c r="U12" s="83"/>
      <c r="V12" s="83"/>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23" ht="46.5" customHeight="1" x14ac:dyDescent="0.2">
      <c r="A13" s="45"/>
      <c r="B13" s="45"/>
      <c r="C13" s="61"/>
      <c r="D13" s="73"/>
      <c r="E13" s="84" t="str">
        <f>'W1'!D11&amp;" (W1,4)"</f>
        <v>Caudal de entrada de aguas superficiales y subterráneas desde países vecinos (W1,4)</v>
      </c>
      <c r="F13" s="83"/>
      <c r="G13" s="84" t="str">
        <f>LEFT('W1'!D12,LEN('W1'!D12)-7)&amp;" (W1,5)"</f>
        <v>Recursos renovables de agua dulce (W1,5)</v>
      </c>
      <c r="H13" s="83"/>
      <c r="I13" s="83"/>
      <c r="J13" s="83"/>
      <c r="M13" s="83"/>
      <c r="N13" s="83"/>
      <c r="O13" s="83"/>
      <c r="P13" s="83"/>
      <c r="Q13" s="83"/>
      <c r="R13" s="83"/>
      <c r="S13" s="83"/>
      <c r="T13" s="52"/>
      <c r="U13" s="83"/>
      <c r="V13" s="83"/>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23" ht="24.75" customHeight="1" x14ac:dyDescent="0.2">
      <c r="A14" s="45"/>
      <c r="B14" s="45"/>
      <c r="C14" s="61"/>
      <c r="D14" s="73"/>
      <c r="E14" s="50"/>
      <c r="F14" s="83"/>
      <c r="G14" s="83"/>
      <c r="H14" s="83"/>
      <c r="I14" s="83"/>
      <c r="J14" s="83"/>
      <c r="K14" s="83"/>
      <c r="L14" s="756" t="str">
        <f>'W1'!D16&amp;" (W1,9)"</f>
        <v>Caudal de salida de aguas superficiales y subterráneas hacia el mar (W1,9)</v>
      </c>
      <c r="M14" s="757"/>
      <c r="N14" s="758"/>
      <c r="O14" s="83"/>
      <c r="P14" s="83"/>
      <c r="Q14" s="83"/>
      <c r="R14" s="83"/>
      <c r="S14" s="83"/>
      <c r="T14" s="83"/>
      <c r="U14" s="83"/>
      <c r="V14" s="83"/>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23" ht="9.75" customHeight="1" x14ac:dyDescent="0.2">
      <c r="A15" s="45"/>
      <c r="B15" s="45"/>
      <c r="C15" s="61"/>
      <c r="D15" s="73"/>
      <c r="E15" s="50"/>
      <c r="F15" s="83"/>
      <c r="G15" s="83"/>
      <c r="H15" s="83"/>
      <c r="I15" s="83"/>
      <c r="J15" s="83"/>
      <c r="K15" s="83"/>
      <c r="L15" s="83"/>
      <c r="M15" s="83"/>
      <c r="N15" s="83"/>
      <c r="O15" s="83"/>
      <c r="P15" s="83"/>
      <c r="Q15" s="83"/>
      <c r="R15" s="83"/>
      <c r="S15" s="83"/>
      <c r="T15" s="83"/>
      <c r="U15" s="83"/>
      <c r="V15" s="83"/>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23" x14ac:dyDescent="0.2">
      <c r="A16" s="45"/>
      <c r="B16" s="45"/>
      <c r="C16" s="61"/>
      <c r="D16" s="73"/>
      <c r="E16" s="750" t="str">
        <f>'W2'!D11</f>
        <v>de la cual extraída por:</v>
      </c>
      <c r="F16" s="751"/>
      <c r="G16" s="751"/>
      <c r="H16" s="751"/>
      <c r="I16" s="751"/>
      <c r="J16" s="751"/>
      <c r="K16" s="751"/>
      <c r="L16" s="752"/>
      <c r="M16" s="83"/>
      <c r="N16" s="83"/>
      <c r="O16" s="83"/>
      <c r="P16" s="83"/>
      <c r="Q16" s="83"/>
      <c r="R16" s="83"/>
      <c r="S16" s="83"/>
      <c r="T16" s="83"/>
      <c r="U16" s="83"/>
      <c r="V16" s="83"/>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x14ac:dyDescent="0.2">
      <c r="A17" s="45"/>
      <c r="B17" s="45"/>
      <c r="C17" s="61"/>
      <c r="D17" s="73"/>
      <c r="E17" s="83"/>
      <c r="F17" s="83"/>
      <c r="G17" s="83"/>
      <c r="H17" s="83"/>
      <c r="I17" s="83"/>
      <c r="J17" s="83"/>
      <c r="K17" s="83"/>
      <c r="L17" s="83"/>
      <c r="M17" s="83"/>
      <c r="N17" s="83"/>
      <c r="O17" s="83"/>
      <c r="P17" s="83"/>
      <c r="Q17" s="83"/>
      <c r="R17" s="83"/>
      <c r="S17" s="83"/>
      <c r="T17" s="83"/>
      <c r="U17" s="83"/>
      <c r="V17" s="83"/>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x14ac:dyDescent="0.2">
      <c r="A18" s="45"/>
      <c r="B18" s="45"/>
      <c r="C18" s="61"/>
      <c r="D18" s="73"/>
      <c r="E18" s="87" t="str">
        <f>LEFT('W2'!D12,LEN('W2'!D12)-8)&amp;"W2,4)"</f>
        <v>Industria del suministro de agua (W2,4)</v>
      </c>
      <c r="F18" s="87" t="str">
        <f>LEFT('W2'!D13,LEN('W2'!D13))&amp;"(W2,5)"</f>
        <v>Hogares(W2,5)</v>
      </c>
      <c r="G18" s="87" t="str">
        <f>LEFT('W2'!D14,LEN('W2'!D14))&amp;" (W2,6)"</f>
        <v>Agricultura, ganadería, silvicultura y pesca (CIIU 01-03) (W2,6)</v>
      </c>
      <c r="H18" s="87" t="str">
        <f>LEFT('W2'!D16,LEN('W2'!D16))&amp;" (W2, 8)"</f>
        <v>Explotación de minas y canteras (CIIU 05-09) (W2, 8)</v>
      </c>
      <c r="I18" s="87" t="str">
        <f>LEFT('W2'!D17,LEN('W2'!D17))&amp;" (W2,9)"</f>
        <v>Industrias manufactureras (CIIU 10-33) (W2,9)</v>
      </c>
      <c r="J18" s="87" t="str">
        <f>LEFT('W2'!D18,LEN('W2'!D18))&amp;" (W2,10)"</f>
        <v>Suministro de electricidad, gas, vapor y aire acondicionado (CIIU 35) (W2,10)</v>
      </c>
      <c r="K18" s="87" t="str">
        <f>LEFT('W2'!D20,LEN('W2'!D20))&amp;" (W2,12)"</f>
        <v>Construcción (CIIU 41-43) (W2,12)</v>
      </c>
      <c r="L18" s="87" t="str">
        <f>LEFT('W2'!D21,LEN('W2'!D21))&amp;" (W2,13)"</f>
        <v>Otras actividades económicas (W2,13)</v>
      </c>
      <c r="M18" s="50"/>
      <c r="N18" s="50"/>
      <c r="O18" s="50"/>
      <c r="P18" s="50"/>
      <c r="Q18" s="50"/>
      <c r="R18" s="37"/>
      <c r="S18" s="50"/>
      <c r="T18" s="83"/>
      <c r="U18" s="83"/>
      <c r="V18" s="83"/>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x14ac:dyDescent="0.2">
      <c r="A19" s="45"/>
      <c r="B19" s="45"/>
      <c r="C19" s="61"/>
      <c r="D19" s="73"/>
      <c r="E19" s="50"/>
      <c r="F19" s="86"/>
      <c r="G19" s="86"/>
      <c r="H19" s="86"/>
      <c r="I19" s="86"/>
      <c r="J19" s="86"/>
      <c r="K19" s="86"/>
      <c r="L19" s="86"/>
      <c r="M19" s="86"/>
      <c r="N19" s="86"/>
      <c r="O19" s="86"/>
      <c r="P19" s="86"/>
      <c r="Q19" s="86"/>
      <c r="R19" s="86"/>
      <c r="S19" s="86"/>
      <c r="T19" s="83"/>
      <c r="U19" s="83"/>
      <c r="V19" s="83"/>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x14ac:dyDescent="0.2">
      <c r="A20" s="45"/>
      <c r="B20" s="45"/>
      <c r="C20" s="61"/>
      <c r="D20" s="73"/>
      <c r="E20" s="753" t="str">
        <f>LEFT('W2'!D10,LEN('W2'!D10)-7)&amp;" (W2,3)"</f>
        <v>Extracción de agua dulce (W2,3)</v>
      </c>
      <c r="F20" s="754"/>
      <c r="G20" s="754"/>
      <c r="H20" s="754"/>
      <c r="I20" s="754"/>
      <c r="J20" s="754"/>
      <c r="K20" s="754"/>
      <c r="L20" s="755"/>
      <c r="M20" s="83"/>
      <c r="N20" s="83"/>
      <c r="O20" s="83"/>
      <c r="P20" s="37"/>
      <c r="Q20" s="83"/>
      <c r="R20" s="83"/>
      <c r="S20" s="83"/>
      <c r="T20" s="83"/>
      <c r="U20" s="83"/>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21" customHeight="1" x14ac:dyDescent="0.2">
      <c r="A21" s="45"/>
      <c r="B21" s="45"/>
      <c r="C21" s="61"/>
      <c r="D21" s="73"/>
      <c r="E21" s="37"/>
      <c r="F21" s="37"/>
      <c r="G21" s="37"/>
      <c r="H21" s="37"/>
      <c r="I21" s="37"/>
      <c r="J21" s="37"/>
      <c r="K21" s="37"/>
      <c r="L21" s="37"/>
      <c r="M21" s="83"/>
      <c r="N21" s="83"/>
      <c r="O21" s="83"/>
      <c r="P21" s="37"/>
      <c r="Q21" s="83"/>
      <c r="R21" s="83"/>
      <c r="S21" s="83"/>
      <c r="T21" s="83"/>
      <c r="U21" s="83"/>
      <c r="V21" s="111"/>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x14ac:dyDescent="0.2">
      <c r="A22" s="45"/>
      <c r="B22" s="45"/>
      <c r="C22" s="61"/>
      <c r="D22" s="73"/>
      <c r="E22" s="37"/>
      <c r="F22" s="37"/>
      <c r="G22" s="37"/>
      <c r="H22" s="37"/>
      <c r="I22" s="37"/>
      <c r="J22" s="37"/>
      <c r="K22" s="741" t="str">
        <f>'W2'!D22&amp;" (W2,14)"</f>
        <v>Agua desalinizada (W2,14)</v>
      </c>
      <c r="L22" s="742"/>
      <c r="N22" s="83"/>
      <c r="O22" s="83"/>
      <c r="P22" s="37"/>
      <c r="Q22" s="83"/>
      <c r="R22" s="83"/>
      <c r="S22" s="83"/>
      <c r="T22" s="83"/>
      <c r="U22" s="83"/>
      <c r="V22" s="87" t="str">
        <f>'W2'!D30&amp;" (W2,21)"</f>
        <v>Hogares (W2,21)</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x14ac:dyDescent="0.2">
      <c r="A23" s="45"/>
      <c r="B23" s="45"/>
      <c r="C23" s="61"/>
      <c r="D23" s="73"/>
      <c r="E23" s="50"/>
      <c r="F23" s="83"/>
      <c r="G23" s="83"/>
      <c r="H23" s="83"/>
      <c r="I23" s="83"/>
      <c r="J23" s="83"/>
      <c r="K23" s="83"/>
      <c r="L23" s="83"/>
      <c r="M23" s="83"/>
      <c r="N23" s="83"/>
      <c r="O23" s="83"/>
      <c r="P23" s="748" t="str">
        <f>LEFT('W2'!D26,LEN('W2'!D26)-17)&amp;" (W2,18)"</f>
        <v>Total de agua dulce disponible para utilización (W2,18)</v>
      </c>
      <c r="Q23" s="83"/>
      <c r="R23" s="748" t="str">
        <f>LEFT('W2'!D28,LEN('W2'!D28)-9)&amp;" (W2,20)"</f>
        <v>Utilización de agua dulce total (W2,20)</v>
      </c>
      <c r="S23" s="83"/>
      <c r="T23" s="83"/>
      <c r="U23" s="83"/>
      <c r="V23" s="83"/>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x14ac:dyDescent="0.2">
      <c r="A24" s="45"/>
      <c r="B24" s="45"/>
      <c r="C24" s="61"/>
      <c r="D24" s="73"/>
      <c r="E24" s="50"/>
      <c r="F24" s="83"/>
      <c r="G24" s="83"/>
      <c r="H24" s="83"/>
      <c r="I24" s="83"/>
      <c r="J24" s="83"/>
      <c r="K24" s="741" t="str">
        <f>'W2'!D23&amp;" (W2,15)"</f>
        <v>Agua reutilizada (W2,15)</v>
      </c>
      <c r="L24" s="742"/>
      <c r="M24" s="83"/>
      <c r="N24" s="37"/>
      <c r="O24" s="83"/>
      <c r="P24" s="749"/>
      <c r="Q24" s="83"/>
      <c r="R24" s="749"/>
      <c r="S24" s="746" t="str">
        <f>'W2'!D29</f>
        <v>de la cual utilizada por:</v>
      </c>
      <c r="T24" s="747"/>
      <c r="U24" s="112"/>
      <c r="V24" s="87" t="str">
        <f>'W2'!D31&amp;" (W2,22)"</f>
        <v>Agricultura, ganadería, silvicultura y pesca (CIIU 01-03) (W2,22)</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x14ac:dyDescent="0.2">
      <c r="A25" s="45"/>
      <c r="B25" s="45"/>
      <c r="C25" s="61"/>
      <c r="D25" s="73"/>
      <c r="E25" s="83"/>
      <c r="F25" s="83"/>
      <c r="G25" s="83"/>
      <c r="H25" s="83"/>
      <c r="I25" s="83"/>
      <c r="J25" s="83"/>
      <c r="K25" s="83"/>
      <c r="L25" s="83"/>
      <c r="M25" s="83"/>
      <c r="N25" s="83"/>
      <c r="O25" s="83"/>
      <c r="P25" s="83"/>
      <c r="Q25" s="83"/>
      <c r="R25" s="83"/>
      <c r="S25" s="83"/>
      <c r="T25" s="83"/>
      <c r="U25" s="83"/>
      <c r="V25" s="83"/>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x14ac:dyDescent="0.2">
      <c r="A26" s="45"/>
      <c r="B26" s="45"/>
      <c r="C26" s="61"/>
      <c r="D26" s="73"/>
      <c r="H26" s="113"/>
      <c r="I26" s="113"/>
      <c r="J26" s="113"/>
      <c r="K26" s="741" t="str">
        <f>'W2'!D24&amp;" - "&amp;'W2'!D25&amp;" (= W2,16 - W2,17)"</f>
        <v>Importaciones de agua - Exportaciones de agua (= W2,16 - W2,17)</v>
      </c>
      <c r="L26" s="742"/>
      <c r="M26" s="83"/>
      <c r="N26" s="83"/>
      <c r="O26" s="83"/>
      <c r="P26" s="37"/>
      <c r="Q26" s="83"/>
      <c r="R26" s="83"/>
      <c r="S26" s="83"/>
      <c r="T26" s="83"/>
      <c r="U26" s="83"/>
      <c r="V26" s="87" t="str">
        <f>'W2'!D34&amp;" (W2,24)"</f>
        <v>Industrias manufactureras (CIIU 10-33) (W2,24)</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13.5" customHeight="1" x14ac:dyDescent="0.2">
      <c r="A27" s="45"/>
      <c r="B27" s="45"/>
      <c r="C27" s="61"/>
      <c r="D27" s="73"/>
      <c r="E27" s="88"/>
      <c r="H27" s="88"/>
      <c r="I27" s="88"/>
      <c r="J27" s="88"/>
      <c r="K27" s="83"/>
      <c r="L27" s="83"/>
      <c r="M27" s="83"/>
      <c r="N27" s="83"/>
      <c r="O27" s="83"/>
      <c r="P27" s="83"/>
      <c r="Q27" s="743" t="str">
        <f>'W2'!D27&amp;" (W2,19)"</f>
        <v>Pérdidas durante el transporte  (W2,19)</v>
      </c>
      <c r="R27" s="83"/>
      <c r="S27" s="83"/>
      <c r="T27" s="83"/>
      <c r="U27" s="83"/>
      <c r="V27" s="83"/>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28.9" customHeight="1" x14ac:dyDescent="0.2">
      <c r="A28" s="45"/>
      <c r="B28" s="45"/>
      <c r="C28" s="61"/>
      <c r="D28" s="73"/>
      <c r="E28" s="88"/>
      <c r="H28" s="88"/>
      <c r="I28" s="88"/>
      <c r="J28" s="88"/>
      <c r="K28" s="83"/>
      <c r="L28" s="83"/>
      <c r="M28" s="83"/>
      <c r="N28" s="83"/>
      <c r="O28" s="83"/>
      <c r="P28" s="83"/>
      <c r="Q28" s="744"/>
      <c r="R28" s="83"/>
      <c r="S28" s="83"/>
      <c r="T28" s="83"/>
      <c r="U28" s="83"/>
      <c r="V28" s="670" t="str">
        <f>'W2'!D34&amp;" (W2,25)"</f>
        <v>Industrias manufactureras (CIIU 10-33) (W2,25)</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x14ac:dyDescent="0.2">
      <c r="A29" s="45"/>
      <c r="B29" s="45"/>
      <c r="C29" s="61"/>
      <c r="D29" s="73"/>
      <c r="E29" s="88"/>
      <c r="H29" s="88"/>
      <c r="I29" s="88"/>
      <c r="J29" s="88"/>
      <c r="K29" s="83"/>
      <c r="L29" s="83"/>
      <c r="M29" s="83"/>
      <c r="N29" s="83"/>
      <c r="O29" s="83"/>
      <c r="P29" s="83"/>
      <c r="Q29" s="744"/>
      <c r="R29" s="83"/>
      <c r="S29" s="83"/>
      <c r="T29" s="83"/>
      <c r="U29" s="83"/>
      <c r="V29" s="83"/>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x14ac:dyDescent="0.2">
      <c r="A30" s="45"/>
      <c r="B30" s="45"/>
      <c r="C30" s="61"/>
      <c r="D30" s="73"/>
      <c r="E30" s="83"/>
      <c r="F30" s="83"/>
      <c r="G30" s="83"/>
      <c r="H30" s="83"/>
      <c r="I30" s="83"/>
      <c r="J30" s="83"/>
      <c r="K30" s="83"/>
      <c r="L30" s="83"/>
      <c r="M30" s="83"/>
      <c r="N30" s="83"/>
      <c r="O30" s="83"/>
      <c r="P30" s="37"/>
      <c r="Q30" s="745"/>
      <c r="S30" s="37"/>
      <c r="T30" s="83"/>
      <c r="U30" s="83"/>
      <c r="V30" s="87" t="str">
        <f>'W2'!D36&amp;" (W2,26)"</f>
        <v>de la cual Industria de la energía eléctrica (CIIU 351) (W2,26)</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899999999999999" customHeight="1" x14ac:dyDescent="0.2">
      <c r="A31" s="45"/>
      <c r="B31" s="45"/>
      <c r="C31" s="61"/>
      <c r="D31" s="73"/>
      <c r="E31" s="83"/>
      <c r="F31" s="83"/>
      <c r="G31" s="83"/>
      <c r="H31" s="83"/>
      <c r="I31" s="83"/>
      <c r="J31" s="83"/>
      <c r="K31" s="83"/>
      <c r="L31" s="83"/>
      <c r="M31" s="83"/>
      <c r="N31" s="83"/>
      <c r="O31" s="83"/>
      <c r="P31" s="37"/>
      <c r="Q31" s="37"/>
      <c r="S31" s="37"/>
      <c r="T31" s="83"/>
      <c r="U31" s="83"/>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x14ac:dyDescent="0.2">
      <c r="A32" s="45"/>
      <c r="B32" s="45"/>
      <c r="C32" s="61"/>
      <c r="D32" s="73"/>
      <c r="E32" s="83"/>
      <c r="F32" s="83"/>
      <c r="G32" s="83"/>
      <c r="H32" s="83"/>
      <c r="I32" s="83"/>
      <c r="J32" s="83"/>
      <c r="K32" s="83"/>
      <c r="L32" s="83"/>
      <c r="M32" s="83"/>
      <c r="N32" s="83"/>
      <c r="O32" s="83"/>
      <c r="P32" s="37"/>
      <c r="Q32" s="37"/>
      <c r="S32" s="37"/>
      <c r="T32" s="83"/>
      <c r="U32" s="83"/>
      <c r="V32" s="87" t="str">
        <f>'W2'!D37&amp;" (W2,28)"</f>
        <v>Construcción (CIIU 41-43) (W2,28)</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23" x14ac:dyDescent="0.2">
      <c r="A33" s="45"/>
      <c r="B33" s="45"/>
      <c r="C33" s="61"/>
      <c r="D33" s="73"/>
      <c r="E33" s="83"/>
      <c r="F33" s="83"/>
      <c r="G33" s="83"/>
      <c r="H33" s="83"/>
      <c r="I33" s="83"/>
      <c r="J33" s="83"/>
      <c r="K33" s="83"/>
      <c r="L33" s="83"/>
      <c r="M33" s="83"/>
      <c r="N33" s="83"/>
      <c r="O33" s="83"/>
      <c r="P33" s="83"/>
      <c r="Q33" s="83"/>
      <c r="R33" s="83"/>
      <c r="S33" s="83"/>
      <c r="T33" s="83"/>
      <c r="U33" s="83"/>
      <c r="V33" s="83"/>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23" ht="33" customHeight="1" x14ac:dyDescent="0.2">
      <c r="A34" s="45"/>
      <c r="B34" s="45"/>
      <c r="C34" s="61"/>
      <c r="D34" s="73"/>
      <c r="E34" s="83"/>
      <c r="F34" s="83"/>
      <c r="G34" s="83"/>
      <c r="H34" s="83"/>
      <c r="I34" s="83"/>
      <c r="J34" s="83"/>
      <c r="K34" s="83"/>
      <c r="L34" s="83"/>
      <c r="M34" s="83"/>
      <c r="N34" s="83"/>
      <c r="O34" s="83"/>
      <c r="P34" s="83"/>
      <c r="Q34" s="83"/>
      <c r="R34" s="83"/>
      <c r="S34" s="83"/>
      <c r="T34" s="83"/>
      <c r="U34" s="83"/>
      <c r="V34" s="87" t="str">
        <f>'W2'!D38&amp;" (W2,29)"</f>
        <v>Otras actividades económicas (W2,29)</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23" ht="9" customHeight="1" x14ac:dyDescent="0.2">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23" ht="3.6" customHeight="1" x14ac:dyDescent="0.2">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23" ht="13.5" customHeight="1" thickBot="1" x14ac:dyDescent="0.25">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x14ac:dyDescent="0.2">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x14ac:dyDescent="0.2">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x14ac:dyDescent="0.2">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x14ac:dyDescent="0.2">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3.1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3.1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9"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3.1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3.1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123"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sheet="1"/>
  <mergeCells count="16">
    <mergeCell ref="R11:R12"/>
    <mergeCell ref="S11:T12"/>
    <mergeCell ref="E2:X2"/>
    <mergeCell ref="G11:H11"/>
    <mergeCell ref="E4:X4"/>
    <mergeCell ref="K22:L22"/>
    <mergeCell ref="E16:L16"/>
    <mergeCell ref="E20:L20"/>
    <mergeCell ref="L12:N12"/>
    <mergeCell ref="L14:N14"/>
    <mergeCell ref="K24:L24"/>
    <mergeCell ref="K26:L26"/>
    <mergeCell ref="Q27:Q30"/>
    <mergeCell ref="S24:T24"/>
    <mergeCell ref="P23:P24"/>
    <mergeCell ref="R23:R24"/>
  </mergeCells>
  <phoneticPr fontId="10" type="noConversion"/>
  <printOptions horizontalCentered="1"/>
  <pageMargins left="0.5" right="0.5" top="0.75" bottom="0.75" header="0.5" footer="0.5"/>
  <pageSetup paperSize="9" scale="47" firstPageNumber="14" orientation="landscape" r:id="rId1"/>
  <headerFooter alignWithMargins="0">
    <oddFooter>&amp;C&amp;"Arial,Regular"UNSD/Programa de las Naciones Unidas para el Medio Ambiente Cuestionario 2018 Estadisticas Ambientales -  Sección del Agua -  &amp;P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DM211"/>
  <sheetViews>
    <sheetView showGridLines="0" tabSelected="1" topLeftCell="C1" zoomScale="85" zoomScaleNormal="85" zoomScaleSheetLayoutView="40" zoomScalePageLayoutView="40" workbookViewId="0">
      <selection activeCell="F8" sqref="F8"/>
    </sheetView>
  </sheetViews>
  <sheetFormatPr defaultColWidth="9.33203125" defaultRowHeight="12.75" x14ac:dyDescent="0.2"/>
  <cols>
    <col min="1" max="1" width="2.33203125" style="198" hidden="1" customWidth="1"/>
    <col min="2" max="2" width="4.1640625" style="199" hidden="1" customWidth="1"/>
    <col min="3" max="3" width="11" style="211" customWidth="1"/>
    <col min="4" max="4" width="35.33203125" style="236" customWidth="1"/>
    <col min="5" max="5" width="10.1640625" style="294" customWidth="1"/>
    <col min="6" max="6" width="11.6640625" style="211" customWidth="1"/>
    <col min="7" max="7" width="1.83203125" style="239" customWidth="1"/>
    <col min="8" max="8" width="7" style="240" customWidth="1"/>
    <col min="9" max="9" width="1.83203125" style="241" customWidth="1"/>
    <col min="10" max="10" width="7" style="240" customWidth="1"/>
    <col min="11" max="11" width="1.83203125" style="241" customWidth="1"/>
    <col min="12" max="12" width="7.1640625" style="241" customWidth="1"/>
    <col min="13" max="13" width="1.83203125" style="241" customWidth="1"/>
    <col min="14" max="14" width="7.1640625" style="241" customWidth="1"/>
    <col min="15" max="15" width="1.83203125" style="241" customWidth="1"/>
    <col min="16" max="16" width="7.1640625" style="241" customWidth="1"/>
    <col min="17" max="17" width="1.83203125" style="241"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1.83203125" style="239" customWidth="1"/>
    <col min="44" max="44" width="7" style="239" customWidth="1"/>
    <col min="45" max="45" width="1.83203125" style="239" customWidth="1"/>
    <col min="46" max="46" width="7" style="240" customWidth="1"/>
    <col min="47" max="47" width="1.83203125" style="211" customWidth="1"/>
    <col min="48" max="48" width="7" style="211" customWidth="1"/>
    <col min="49" max="49" width="1.83203125" style="211" customWidth="1"/>
    <col min="50" max="50" width="7" style="240" customWidth="1"/>
    <col min="51" max="51" width="1.83203125" style="211" customWidth="1"/>
    <col min="52" max="52" width="7" style="211" customWidth="1"/>
    <col min="53" max="53" width="1.83203125" style="211" customWidth="1"/>
    <col min="54" max="54" width="7" style="211" customWidth="1"/>
    <col min="55" max="55" width="1.6640625" style="211" customWidth="1"/>
    <col min="56" max="56" width="1.83203125" style="211" customWidth="1"/>
    <col min="57" max="57" width="6.5" style="209" customWidth="1"/>
    <col min="58" max="58" width="6.83203125" style="209" customWidth="1"/>
    <col min="59" max="59" width="34.6640625" style="209" customWidth="1"/>
    <col min="60" max="60" width="9.33203125" style="209" customWidth="1"/>
    <col min="61" max="61" width="11.33203125" style="209" customWidth="1"/>
    <col min="62" max="63" width="5.5" style="209" customWidth="1"/>
    <col min="64" max="64" width="1.83203125" style="209" customWidth="1"/>
    <col min="65" max="65" width="5.5" style="209" customWidth="1"/>
    <col min="66" max="66" width="1.83203125" style="209" customWidth="1"/>
    <col min="67" max="67" width="5.5" style="209" customWidth="1"/>
    <col min="68" max="68" width="1.83203125" style="209" customWidth="1"/>
    <col min="69" max="69" width="5.5" style="209" customWidth="1"/>
    <col min="70" max="70" width="1.83203125" style="209" customWidth="1"/>
    <col min="71" max="71" width="5.5" style="209" customWidth="1"/>
    <col min="72" max="72" width="1.83203125" style="209" customWidth="1"/>
    <col min="73" max="73" width="5.5" style="209" customWidth="1"/>
    <col min="74" max="74" width="1.83203125" style="209" customWidth="1"/>
    <col min="75" max="75" width="5.5" style="209" customWidth="1"/>
    <col min="76" max="76" width="1.83203125" style="209" customWidth="1"/>
    <col min="77" max="77" width="5.5" style="209" customWidth="1"/>
    <col min="78" max="78" width="1.83203125" style="209" customWidth="1"/>
    <col min="79" max="79" width="5.5" style="209" customWidth="1"/>
    <col min="80" max="80" width="1.83203125" style="209" customWidth="1"/>
    <col min="81" max="81" width="5.5" style="209" customWidth="1"/>
    <col min="82" max="82" width="1.83203125" style="209" customWidth="1"/>
    <col min="83" max="83" width="5.5" style="209" customWidth="1"/>
    <col min="84" max="84" width="1.83203125" style="209" customWidth="1"/>
    <col min="85" max="85" width="5.5" style="209" customWidth="1"/>
    <col min="86" max="86" width="1.83203125" style="209" customWidth="1"/>
    <col min="87" max="87" width="5.5" style="209" customWidth="1"/>
    <col min="88" max="88" width="1.83203125" style="209" customWidth="1"/>
    <col min="89" max="89" width="5.5" style="209" customWidth="1"/>
    <col min="90" max="90" width="1.83203125" style="209" customWidth="1"/>
    <col min="91" max="91" width="5.5" style="209" customWidth="1"/>
    <col min="92" max="92" width="1.83203125" style="209" customWidth="1"/>
    <col min="93" max="93" width="5.5" style="209" customWidth="1"/>
    <col min="94" max="94" width="1.83203125" style="209" customWidth="1"/>
    <col min="95" max="95" width="5.5" style="209" customWidth="1"/>
    <col min="96" max="96" width="1.83203125" style="209" customWidth="1"/>
    <col min="97" max="97" width="5.5" style="209" customWidth="1"/>
    <col min="98" max="98" width="1.83203125" style="209" customWidth="1"/>
    <col min="99" max="99" width="5.5" style="209" customWidth="1"/>
    <col min="100" max="100" width="1.83203125" style="209" customWidth="1"/>
    <col min="101" max="101" width="5.6640625" style="209" customWidth="1"/>
    <col min="102" max="102" width="1.83203125" style="209" customWidth="1"/>
    <col min="103" max="103" width="5.5" style="209" customWidth="1"/>
    <col min="104" max="104" width="1.83203125" style="209" customWidth="1"/>
    <col min="105" max="105" width="5.6640625" style="209" customWidth="1"/>
    <col min="106" max="106" width="1.83203125" style="209" customWidth="1"/>
    <col min="107" max="107" width="5.6640625" style="209" customWidth="1"/>
    <col min="108" max="108" width="3.5" style="211" customWidth="1"/>
    <col min="109" max="109" width="9.33203125" style="209" customWidth="1"/>
    <col min="110" max="110" width="21.6640625" style="626" customWidth="1"/>
    <col min="111" max="114" width="9.33203125" style="209" customWidth="1"/>
    <col min="115" max="16384" width="9.33203125" style="211"/>
  </cols>
  <sheetData>
    <row r="1" spans="1:114" ht="15.75" customHeight="1" x14ac:dyDescent="0.25">
      <c r="B1" s="199">
        <v>0</v>
      </c>
      <c r="C1" s="200" t="s">
        <v>395</v>
      </c>
      <c r="D1" s="201"/>
      <c r="E1" s="202"/>
      <c r="F1" s="203"/>
      <c r="G1" s="204"/>
      <c r="H1" s="205"/>
      <c r="I1" s="206"/>
      <c r="J1" s="205"/>
      <c r="K1" s="206"/>
      <c r="L1" s="206"/>
      <c r="M1" s="206"/>
      <c r="N1" s="206"/>
      <c r="O1" s="206"/>
      <c r="P1" s="206"/>
      <c r="Q1" s="206"/>
      <c r="R1" s="205"/>
      <c r="S1" s="206"/>
      <c r="T1" s="205"/>
      <c r="U1" s="206"/>
      <c r="V1" s="205"/>
      <c r="W1" s="204"/>
      <c r="X1" s="205"/>
      <c r="Y1" s="204"/>
      <c r="Z1" s="205"/>
      <c r="AA1" s="204"/>
      <c r="AB1" s="205"/>
      <c r="AC1" s="204"/>
      <c r="AD1" s="205"/>
      <c r="AE1" s="204"/>
      <c r="AF1" s="205"/>
      <c r="AG1" s="204"/>
      <c r="AH1" s="205"/>
      <c r="AI1" s="206"/>
      <c r="AJ1" s="205"/>
      <c r="AK1" s="204"/>
      <c r="AL1" s="205"/>
      <c r="AM1" s="204"/>
      <c r="AN1" s="205"/>
      <c r="AO1" s="204"/>
      <c r="AP1" s="204"/>
      <c r="AQ1" s="204"/>
      <c r="AR1" s="204"/>
      <c r="AS1" s="204"/>
      <c r="AT1" s="205"/>
      <c r="AU1" s="207"/>
      <c r="AV1" s="208"/>
      <c r="AW1" s="208"/>
      <c r="AX1" s="205"/>
      <c r="AY1" s="207"/>
      <c r="AZ1" s="208"/>
      <c r="BA1" s="208"/>
      <c r="BB1" s="208"/>
      <c r="BC1" s="208"/>
      <c r="BD1" s="208"/>
      <c r="BF1" s="210" t="s">
        <v>465</v>
      </c>
    </row>
    <row r="2" spans="1:114" ht="6.75" customHeight="1" x14ac:dyDescent="0.25">
      <c r="C2" s="212"/>
      <c r="D2" s="213"/>
      <c r="E2" s="214"/>
      <c r="F2" s="215"/>
      <c r="G2" s="216"/>
      <c r="H2" s="217"/>
      <c r="I2" s="218"/>
      <c r="J2" s="217"/>
      <c r="K2" s="218"/>
      <c r="L2" s="218"/>
      <c r="M2" s="218"/>
      <c r="N2" s="218"/>
      <c r="O2" s="218"/>
      <c r="P2" s="218"/>
      <c r="Q2" s="218"/>
      <c r="R2" s="217"/>
      <c r="S2" s="218"/>
      <c r="T2" s="217"/>
      <c r="U2" s="218"/>
      <c r="V2" s="217"/>
      <c r="W2" s="216"/>
      <c r="X2" s="217"/>
      <c r="Y2" s="216"/>
      <c r="Z2" s="217"/>
      <c r="AA2" s="216"/>
      <c r="AB2" s="217"/>
      <c r="AC2" s="216"/>
      <c r="AD2" s="217"/>
      <c r="AE2" s="216"/>
      <c r="AF2" s="217"/>
      <c r="AG2" s="216"/>
      <c r="AH2" s="217"/>
      <c r="AI2" s="218"/>
      <c r="AJ2" s="217"/>
      <c r="AK2" s="216"/>
      <c r="AL2" s="217"/>
      <c r="AM2" s="216"/>
      <c r="AN2" s="217"/>
      <c r="AO2" s="216"/>
      <c r="AP2" s="216"/>
      <c r="AQ2" s="216"/>
      <c r="AR2" s="216"/>
      <c r="AS2" s="216"/>
      <c r="AT2" s="217"/>
      <c r="AU2" s="219"/>
      <c r="AV2" s="220"/>
      <c r="AW2" s="220"/>
      <c r="AX2" s="217"/>
      <c r="AY2" s="219"/>
      <c r="AZ2" s="220"/>
      <c r="BA2" s="220"/>
      <c r="BB2" s="220"/>
      <c r="BC2" s="220"/>
      <c r="BD2" s="220"/>
    </row>
    <row r="3" spans="1:114" ht="16.5" customHeight="1" x14ac:dyDescent="0.25">
      <c r="B3" s="199">
        <v>170</v>
      </c>
      <c r="C3" s="221" t="s">
        <v>518</v>
      </c>
      <c r="D3" s="576" t="s">
        <v>248</v>
      </c>
      <c r="E3" s="345"/>
      <c r="F3" s="346"/>
      <c r="G3" s="347"/>
      <c r="H3" s="348"/>
      <c r="I3" s="349"/>
      <c r="J3" s="348"/>
      <c r="K3" s="349"/>
      <c r="L3" s="349"/>
      <c r="M3" s="349"/>
      <c r="N3" s="349"/>
      <c r="O3" s="349"/>
      <c r="P3" s="349"/>
      <c r="Q3" s="349"/>
      <c r="R3" s="348"/>
      <c r="S3" s="349"/>
      <c r="T3" s="348"/>
      <c r="U3" s="349"/>
      <c r="V3" s="348"/>
      <c r="W3" s="347"/>
      <c r="X3" s="348"/>
      <c r="Y3" s="347"/>
      <c r="Z3" s="93"/>
      <c r="AA3" s="53"/>
      <c r="AB3" s="93"/>
      <c r="AC3" s="53"/>
      <c r="AD3" s="93"/>
      <c r="AE3" s="221" t="s">
        <v>519</v>
      </c>
      <c r="AF3" s="223"/>
      <c r="AG3" s="222"/>
      <c r="AH3" s="223"/>
      <c r="AI3" s="224"/>
      <c r="AJ3" s="223"/>
      <c r="AK3" s="222"/>
      <c r="AL3" s="348"/>
      <c r="AM3" s="347"/>
      <c r="AN3" s="348"/>
      <c r="AO3" s="347"/>
      <c r="AP3" s="347"/>
      <c r="AQ3" s="347"/>
      <c r="AR3" s="347"/>
      <c r="AS3" s="347"/>
      <c r="AT3" s="348"/>
      <c r="AU3" s="350"/>
      <c r="AV3" s="351"/>
      <c r="AW3" s="351"/>
      <c r="AX3" s="348"/>
      <c r="AY3" s="350"/>
      <c r="AZ3" s="351"/>
      <c r="BA3" s="351"/>
      <c r="BB3" s="351"/>
      <c r="BC3" s="351"/>
      <c r="BD3" s="351"/>
      <c r="BF3" s="228" t="s">
        <v>441</v>
      </c>
    </row>
    <row r="4" spans="1:114" ht="2.25" customHeight="1" x14ac:dyDescent="0.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F4" s="229"/>
    </row>
    <row r="5" spans="1:114" s="235" customFormat="1" ht="17.25" customHeight="1" x14ac:dyDescent="0.25">
      <c r="A5" s="230"/>
      <c r="B5" s="199">
        <v>1</v>
      </c>
      <c r="C5" s="768" t="s">
        <v>172</v>
      </c>
      <c r="D5" s="768"/>
      <c r="E5" s="769"/>
      <c r="F5" s="769"/>
      <c r="G5" s="769"/>
      <c r="H5" s="770"/>
      <c r="I5" s="770"/>
      <c r="J5" s="770"/>
      <c r="K5" s="770"/>
      <c r="L5" s="770"/>
      <c r="M5" s="770"/>
      <c r="N5" s="770"/>
      <c r="O5" s="770"/>
      <c r="P5" s="770"/>
      <c r="Q5" s="770"/>
      <c r="R5" s="770"/>
      <c r="S5" s="770"/>
      <c r="T5" s="770"/>
      <c r="U5" s="770"/>
      <c r="V5" s="770"/>
      <c r="W5" s="769"/>
      <c r="X5" s="770"/>
      <c r="Y5" s="769"/>
      <c r="Z5" s="770"/>
      <c r="AA5" s="769"/>
      <c r="AB5" s="770"/>
      <c r="AC5" s="769"/>
      <c r="AD5" s="770"/>
      <c r="AE5" s="769"/>
      <c r="AF5" s="770"/>
      <c r="AG5" s="769"/>
      <c r="AH5" s="770"/>
      <c r="AI5" s="770"/>
      <c r="AJ5" s="770"/>
      <c r="AK5" s="769"/>
      <c r="AL5" s="770"/>
      <c r="AM5" s="769"/>
      <c r="AN5" s="770"/>
      <c r="AO5" s="769"/>
      <c r="AP5" s="769"/>
      <c r="AQ5" s="769"/>
      <c r="AR5" s="769"/>
      <c r="AS5" s="769"/>
      <c r="AT5" s="770"/>
      <c r="AU5" s="231"/>
      <c r="AV5" s="232"/>
      <c r="AW5" s="232"/>
      <c r="AX5" s="232"/>
      <c r="AY5" s="231"/>
      <c r="AZ5" s="232"/>
      <c r="BA5" s="232"/>
      <c r="BB5" s="232"/>
      <c r="BC5" s="232"/>
      <c r="BD5" s="232"/>
      <c r="BE5" s="233"/>
      <c r="BF5" s="234" t="s">
        <v>442</v>
      </c>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E5" s="767" t="s">
        <v>369</v>
      </c>
      <c r="DF5" s="767"/>
      <c r="DG5" s="767"/>
      <c r="DH5" s="767"/>
      <c r="DI5" s="767"/>
      <c r="DJ5" s="767"/>
    </row>
    <row r="6" spans="1:114" ht="23.25" customHeight="1" x14ac:dyDescent="0.25">
      <c r="E6" s="237"/>
      <c r="F6" s="773" t="s">
        <v>408</v>
      </c>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242"/>
      <c r="AL6" s="243"/>
      <c r="AM6" s="243"/>
      <c r="AN6" s="243"/>
      <c r="AO6" s="243"/>
      <c r="AP6" s="243"/>
      <c r="AQ6" s="243"/>
      <c r="AR6" s="243"/>
      <c r="AS6" s="243"/>
      <c r="AT6" s="243"/>
      <c r="AU6" s="243"/>
      <c r="AV6" s="243"/>
      <c r="AW6" s="243"/>
      <c r="AX6" s="243"/>
      <c r="AY6" s="243"/>
      <c r="AZ6" s="243"/>
      <c r="BA6" s="243"/>
      <c r="BB6" s="243"/>
      <c r="BC6" s="244"/>
      <c r="BD6" s="245"/>
      <c r="BF6" s="246" t="s">
        <v>567</v>
      </c>
      <c r="DE6" s="247" t="s">
        <v>212</v>
      </c>
      <c r="DF6" s="627" t="s">
        <v>213</v>
      </c>
      <c r="DG6" s="248" t="s">
        <v>214</v>
      </c>
      <c r="DH6" s="248" t="s">
        <v>371</v>
      </c>
      <c r="DI6" s="248" t="s">
        <v>215</v>
      </c>
      <c r="DJ6" s="248" t="s">
        <v>216</v>
      </c>
    </row>
    <row r="7" spans="1:114" s="254" customFormat="1" ht="46.5" customHeight="1" x14ac:dyDescent="0.2">
      <c r="A7" s="249"/>
      <c r="B7" s="250">
        <v>2</v>
      </c>
      <c r="C7" s="251" t="s">
        <v>520</v>
      </c>
      <c r="D7" s="251" t="s">
        <v>521</v>
      </c>
      <c r="E7" s="252" t="s">
        <v>522</v>
      </c>
      <c r="F7" s="251" t="s">
        <v>137</v>
      </c>
      <c r="G7" s="253"/>
      <c r="H7" s="600">
        <v>1990</v>
      </c>
      <c r="I7" s="601"/>
      <c r="J7" s="600">
        <v>1995</v>
      </c>
      <c r="K7" s="601"/>
      <c r="L7" s="600">
        <v>1996</v>
      </c>
      <c r="M7" s="601"/>
      <c r="N7" s="600">
        <v>1997</v>
      </c>
      <c r="O7" s="601"/>
      <c r="P7" s="600">
        <v>1998</v>
      </c>
      <c r="Q7" s="601"/>
      <c r="R7" s="600">
        <v>1999</v>
      </c>
      <c r="S7" s="601"/>
      <c r="T7" s="600">
        <v>2000</v>
      </c>
      <c r="U7" s="601"/>
      <c r="V7" s="600">
        <v>2001</v>
      </c>
      <c r="W7" s="602"/>
      <c r="X7" s="600">
        <v>2002</v>
      </c>
      <c r="Y7" s="602"/>
      <c r="Z7" s="600">
        <v>2003</v>
      </c>
      <c r="AA7" s="602"/>
      <c r="AB7" s="600">
        <v>2004</v>
      </c>
      <c r="AC7" s="602"/>
      <c r="AD7" s="600">
        <v>2005</v>
      </c>
      <c r="AE7" s="602"/>
      <c r="AF7" s="600">
        <v>2006</v>
      </c>
      <c r="AG7" s="602"/>
      <c r="AH7" s="600">
        <v>2007</v>
      </c>
      <c r="AI7" s="602"/>
      <c r="AJ7" s="600">
        <v>2008</v>
      </c>
      <c r="AK7" s="603"/>
      <c r="AL7" s="600">
        <v>2009</v>
      </c>
      <c r="AM7" s="603"/>
      <c r="AN7" s="600">
        <v>2010</v>
      </c>
      <c r="AO7" s="602"/>
      <c r="AP7" s="600">
        <v>2011</v>
      </c>
      <c r="AQ7" s="602"/>
      <c r="AR7" s="600">
        <v>2012</v>
      </c>
      <c r="AS7" s="602"/>
      <c r="AT7" s="600">
        <v>2013</v>
      </c>
      <c r="AU7" s="602"/>
      <c r="AV7" s="600">
        <v>2014</v>
      </c>
      <c r="AW7" s="602"/>
      <c r="AX7" s="600">
        <v>2015</v>
      </c>
      <c r="AY7" s="602"/>
      <c r="AZ7" s="600">
        <v>2016</v>
      </c>
      <c r="BA7" s="602"/>
      <c r="BB7" s="600">
        <v>2017</v>
      </c>
      <c r="BC7" s="602"/>
      <c r="BE7" s="249"/>
      <c r="BF7" s="251" t="s">
        <v>201</v>
      </c>
      <c r="BG7" s="251" t="s">
        <v>202</v>
      </c>
      <c r="BH7" s="251" t="s">
        <v>203</v>
      </c>
      <c r="BI7" s="251" t="s">
        <v>209</v>
      </c>
      <c r="BJ7" s="252">
        <v>1990</v>
      </c>
      <c r="BK7" s="252">
        <v>1995</v>
      </c>
      <c r="BL7" s="252"/>
      <c r="BM7" s="252">
        <v>1996</v>
      </c>
      <c r="BN7" s="252"/>
      <c r="BO7" s="252">
        <v>1997</v>
      </c>
      <c r="BP7" s="252"/>
      <c r="BQ7" s="252">
        <v>1998</v>
      </c>
      <c r="BR7" s="252"/>
      <c r="BS7" s="252">
        <v>1999</v>
      </c>
      <c r="BT7" s="252"/>
      <c r="BU7" s="252">
        <v>2000</v>
      </c>
      <c r="BV7" s="252"/>
      <c r="BW7" s="252">
        <v>2001</v>
      </c>
      <c r="BX7" s="252"/>
      <c r="BY7" s="252">
        <v>2002</v>
      </c>
      <c r="BZ7" s="252"/>
      <c r="CA7" s="252">
        <v>2003</v>
      </c>
      <c r="CB7" s="252"/>
      <c r="CC7" s="252">
        <v>2004</v>
      </c>
      <c r="CD7" s="252"/>
      <c r="CE7" s="252">
        <v>2005</v>
      </c>
      <c r="CF7" s="252"/>
      <c r="CG7" s="252">
        <v>2006</v>
      </c>
      <c r="CH7" s="252"/>
      <c r="CI7" s="252">
        <v>2007</v>
      </c>
      <c r="CJ7" s="252"/>
      <c r="CK7" s="252">
        <v>2008</v>
      </c>
      <c r="CL7" s="252"/>
      <c r="CM7" s="252">
        <v>2009</v>
      </c>
      <c r="CN7" s="252"/>
      <c r="CO7" s="252">
        <v>2010</v>
      </c>
      <c r="CP7" s="252"/>
      <c r="CQ7" s="252">
        <v>2011</v>
      </c>
      <c r="CR7" s="252"/>
      <c r="CS7" s="252">
        <v>2012</v>
      </c>
      <c r="CT7" s="252"/>
      <c r="CU7" s="252">
        <v>2013</v>
      </c>
      <c r="CV7" s="252"/>
      <c r="CW7" s="252">
        <v>2014</v>
      </c>
      <c r="CX7" s="252"/>
      <c r="CY7" s="252">
        <v>2015</v>
      </c>
      <c r="CZ7" s="252"/>
      <c r="DA7" s="252">
        <v>2016</v>
      </c>
      <c r="DB7" s="252"/>
      <c r="DC7" s="252">
        <v>2017</v>
      </c>
      <c r="DD7" s="235"/>
      <c r="DE7" s="255">
        <v>4</v>
      </c>
      <c r="DF7" s="628" t="s">
        <v>217</v>
      </c>
      <c r="DG7" s="255">
        <v>213500</v>
      </c>
      <c r="DH7" s="255">
        <v>47150</v>
      </c>
      <c r="DI7" s="255">
        <v>10000</v>
      </c>
      <c r="DJ7" s="255">
        <v>65330</v>
      </c>
    </row>
    <row r="8" spans="1:114" s="261" customFormat="1" ht="20.25" customHeight="1" x14ac:dyDescent="0.2">
      <c r="A8" s="256"/>
      <c r="B8" s="257">
        <v>6</v>
      </c>
      <c r="C8" s="258">
        <v>1</v>
      </c>
      <c r="D8" s="259" t="s">
        <v>404</v>
      </c>
      <c r="E8" s="260" t="s">
        <v>60</v>
      </c>
      <c r="F8" s="571"/>
      <c r="G8" s="592"/>
      <c r="H8" s="571"/>
      <c r="I8" s="592"/>
      <c r="J8" s="571"/>
      <c r="K8" s="592"/>
      <c r="L8" s="571"/>
      <c r="M8" s="592"/>
      <c r="N8" s="571"/>
      <c r="O8" s="592"/>
      <c r="P8" s="571"/>
      <c r="Q8" s="592"/>
      <c r="R8" s="571"/>
      <c r="S8" s="592"/>
      <c r="T8" s="571"/>
      <c r="U8" s="592"/>
      <c r="V8" s="571"/>
      <c r="W8" s="592"/>
      <c r="X8" s="571"/>
      <c r="Y8" s="592"/>
      <c r="Z8" s="571"/>
      <c r="AA8" s="592"/>
      <c r="AB8" s="571"/>
      <c r="AC8" s="592"/>
      <c r="AD8" s="571"/>
      <c r="AE8" s="592"/>
      <c r="AF8" s="571"/>
      <c r="AG8" s="592"/>
      <c r="AH8" s="571"/>
      <c r="AI8" s="592"/>
      <c r="AJ8" s="571"/>
      <c r="AK8" s="592"/>
      <c r="AL8" s="571"/>
      <c r="AM8" s="592"/>
      <c r="AN8" s="571"/>
      <c r="AO8" s="592"/>
      <c r="AP8" s="571"/>
      <c r="AQ8" s="592"/>
      <c r="AR8" s="571"/>
      <c r="AS8" s="592"/>
      <c r="AT8" s="571"/>
      <c r="AU8" s="592"/>
      <c r="AV8" s="687">
        <v>4.7824648702533503</v>
      </c>
      <c r="AW8" s="688"/>
      <c r="AX8" s="687">
        <v>3.9387918145690577</v>
      </c>
      <c r="AY8" s="688"/>
      <c r="AZ8" s="687">
        <v>9.548855347368848</v>
      </c>
      <c r="BA8" s="592"/>
      <c r="BB8" s="571"/>
      <c r="BC8" s="592"/>
      <c r="BE8" s="262"/>
      <c r="BF8" s="98">
        <v>1</v>
      </c>
      <c r="BG8" s="263" t="s">
        <v>461</v>
      </c>
      <c r="BH8" s="264" t="s">
        <v>462</v>
      </c>
      <c r="BI8" s="265" t="str">
        <f>IF(OR(ISERR(AVERAGE(H8:BB8)),ISBLANK(F8)),"N/A",IF(OR(F8&lt;AVERAGE(H8:BB8)*0.75, F8&gt;AVERAGE(H8:BB8)*1.25), "&lt;&gt;Average", "ok"))</f>
        <v>N/A</v>
      </c>
      <c r="BJ8" s="266" t="s">
        <v>466</v>
      </c>
      <c r="BK8" s="98" t="str">
        <f>IF(OR(ISBLANK(H8),ISBLANK(J8)),"N/A",IF(ABS((J8-H8)/H8)&gt;1,"&gt; 100%","ok"))</f>
        <v>N/A</v>
      </c>
      <c r="BL8" s="266"/>
      <c r="BM8" s="79" t="str">
        <f>IF(OR(ISBLANK(L8),ISBLANK(J8)),"N/A",IF(ABS((L8-J8)/J8)&gt;0.25,"&gt; 25%","ok"))</f>
        <v>N/A</v>
      </c>
      <c r="BN8" s="266"/>
      <c r="BO8" s="79" t="str">
        <f t="shared" ref="BO8:BO16" si="0">IF(OR(ISBLANK(N8),ISBLANK(L8)),"N/A",IF(ABS((N8-L8)/L8)&gt;0.25,"&gt; 25%","ok"))</f>
        <v>N/A</v>
      </c>
      <c r="BP8" s="266"/>
      <c r="BQ8" s="79" t="str">
        <f t="shared" ref="BQ8:BQ16" si="1">IF(OR(ISBLANK(P8),ISBLANK(N8)),"N/A",IF(ABS((P8-N8)/N8)&gt;0.25,"&gt; 25%","ok"))</f>
        <v>N/A</v>
      </c>
      <c r="BR8" s="266"/>
      <c r="BS8" s="79" t="str">
        <f t="shared" ref="BS8:BS16" si="2">IF(OR(ISBLANK(R8),ISBLANK(P8)),"N/A",IF(ABS((R8-P8)/P8)&gt;0.25,"&gt; 25%","ok"))</f>
        <v>N/A</v>
      </c>
      <c r="BT8" s="266"/>
      <c r="BU8" s="79" t="str">
        <f t="shared" ref="BU8:BU16" si="3">IF(OR(ISBLANK(T8),ISBLANK(R8)),"N/A",IF(ABS((T8-R8)/R8)&gt;0.25,"&gt; 25%","ok"))</f>
        <v>N/A</v>
      </c>
      <c r="BV8" s="266"/>
      <c r="BW8" s="79" t="str">
        <f t="shared" ref="BW8:BW16" si="4">IF(OR(ISBLANK(V8),ISBLANK(T8)),"N/A",IF(ABS((V8-T8)/T8)&gt;0.25,"&gt; 25%","ok"))</f>
        <v>N/A</v>
      </c>
      <c r="BX8" s="266"/>
      <c r="BY8" s="79" t="str">
        <f t="shared" ref="BY8:BY16" si="5">IF(OR(ISBLANK(X8),ISBLANK(V8)),"N/A",IF(ABS((X8-V8)/V8)&gt;0.25,"&gt; 25%","ok"))</f>
        <v>N/A</v>
      </c>
      <c r="BZ8" s="266"/>
      <c r="CA8" s="79" t="str">
        <f t="shared" ref="CA8:CA16" si="6">IF(OR(ISBLANK(Z8),ISBLANK(X8)),"N/A",IF(ABS((Z8-X8)/X8)&gt;0.25,"&gt; 25%","ok"))</f>
        <v>N/A</v>
      </c>
      <c r="CB8" s="266"/>
      <c r="CC8" s="79" t="str">
        <f t="shared" ref="CC8:CC16" si="7">IF(OR(ISBLANK(AB8),ISBLANK(Z8)),"N/A",IF(ABS((AB8-Z8)/Z8)&gt;0.25,"&gt; 25%","ok"))</f>
        <v>N/A</v>
      </c>
      <c r="CD8" s="266"/>
      <c r="CE8" s="79" t="str">
        <f t="shared" ref="CE8:CE16" si="8">IF(OR(ISBLANK(AD8),ISBLANK(AB8)),"N/A",IF(ABS((AD8-AB8)/AB8)&gt;0.25,"&gt; 25%","ok"))</f>
        <v>N/A</v>
      </c>
      <c r="CF8" s="266"/>
      <c r="CG8" s="79" t="str">
        <f t="shared" ref="CG8:CG16" si="9">IF(OR(ISBLANK(AF8),ISBLANK(AD8)),"N/A",IF(ABS((AF8-AD8)/AD8)&gt;0.25,"&gt; 25%","ok"))</f>
        <v>N/A</v>
      </c>
      <c r="CH8" s="266"/>
      <c r="CI8" s="79" t="str">
        <f t="shared" ref="CI8:CI16" si="10">IF(OR(ISBLANK(AH8),ISBLANK(AF8)),"N/A",IF(ABS((AH8-AF8)/AF8)&gt;0.25,"&gt; 25%","ok"))</f>
        <v>N/A</v>
      </c>
      <c r="CJ8" s="266"/>
      <c r="CK8" s="79" t="str">
        <f t="shared" ref="CK8:CK16" si="11">IF(OR(ISBLANK(AJ8),ISBLANK(AH8)),"N/A",IF(ABS((AJ8-AH8)/AH8)&gt;0.25,"&gt; 25%","ok"))</f>
        <v>N/A</v>
      </c>
      <c r="CL8" s="266"/>
      <c r="CM8" s="79" t="str">
        <f t="shared" ref="CM8:CM16" si="12">IF(OR(ISBLANK(AL8),ISBLANK(AJ8)),"N/A",IF(ABS((AL8-AJ8)/AJ8)&gt;0.25,"&gt; 25%","ok"))</f>
        <v>N/A</v>
      </c>
      <c r="CN8" s="266"/>
      <c r="CO8" s="79" t="str">
        <f t="shared" ref="CO8:CO16" si="13">IF(OR(ISBLANK(AN8),ISBLANK(AL8)),"N/A",IF(ABS((AN8-AL8)/AL8)&gt;0.25,"&gt; 25%","ok"))</f>
        <v>N/A</v>
      </c>
      <c r="CP8" s="266"/>
      <c r="CQ8" s="79" t="str">
        <f t="shared" ref="CQ8:CQ16" si="14">IF(OR(ISBLANK(AP8),ISBLANK(AN8)),"N/A",IF(ABS((AP8-AN8)/AN8)&gt;0.25,"&gt; 25%","ok"))</f>
        <v>N/A</v>
      </c>
      <c r="CR8" s="266"/>
      <c r="CS8" s="79" t="str">
        <f t="shared" ref="CS8:CS16" si="15">IF(OR(ISBLANK(AR8),ISBLANK(AP8)),"N/A",IF(ABS((AR8-AP8)/AP8)&gt;0.25,"&gt; 25%","ok"))</f>
        <v>N/A</v>
      </c>
      <c r="CT8" s="266"/>
      <c r="CU8" s="79" t="str">
        <f t="shared" ref="CU8:CU16" si="16">IF(OR(ISBLANK(AT8),ISBLANK(AR8)),"N/A",IF(ABS((AT8-AR8)/AR8)&gt;0.25,"&gt; 25%","ok"))</f>
        <v>N/A</v>
      </c>
      <c r="CV8" s="266"/>
      <c r="CW8" s="79" t="str">
        <f t="shared" ref="CW8:CW16" si="17">IF(OR(ISBLANK(AV8),ISBLANK(AT8)),"N/A",IF(ABS((AV8-AT8)/AT8)&gt;0.25,"&gt; 25%","ok"))</f>
        <v>N/A</v>
      </c>
      <c r="CX8" s="266"/>
      <c r="CY8" s="79" t="str">
        <f t="shared" ref="CY8:CY16" si="18">IF(OR(ISBLANK(AX8),ISBLANK(AV8)),"N/A",IF(ABS((AX8-AV8)/AV8)&gt;0.25,"&gt; 25%","ok"))</f>
        <v>ok</v>
      </c>
      <c r="CZ8" s="266"/>
      <c r="DA8" s="79" t="str">
        <f t="shared" ref="DA8:DA16" si="19">IF(OR(ISBLANK(AZ8),ISBLANK(AX8)),"N/A",IF(ABS((AZ8-AX8)/AX8)&gt;0.25,"&gt; 25%","ok"))</f>
        <v>&gt; 25%</v>
      </c>
      <c r="DB8" s="266"/>
      <c r="DC8" s="79" t="str">
        <f>IF(OR(ISBLANK(BB8),ISBLANK(AZ8)),"N/A",IF(ABS((BB8-AZ8)/AZ8)&gt;0.25,"&gt; 25%","ok"))</f>
        <v>N/A</v>
      </c>
      <c r="DE8" s="255">
        <v>8</v>
      </c>
      <c r="DF8" s="628" t="s">
        <v>218</v>
      </c>
      <c r="DG8" s="255">
        <v>42690</v>
      </c>
      <c r="DH8" s="255">
        <v>26900</v>
      </c>
      <c r="DI8" s="255">
        <v>3300</v>
      </c>
      <c r="DJ8" s="255">
        <v>30200</v>
      </c>
    </row>
    <row r="9" spans="1:114" s="261" customFormat="1" ht="20.25" customHeight="1" x14ac:dyDescent="0.2">
      <c r="A9" s="256"/>
      <c r="B9" s="257">
        <v>7</v>
      </c>
      <c r="C9" s="267">
        <v>2</v>
      </c>
      <c r="D9" s="268" t="s">
        <v>73</v>
      </c>
      <c r="E9" s="260" t="s">
        <v>60</v>
      </c>
      <c r="F9" s="572"/>
      <c r="G9" s="593"/>
      <c r="H9" s="572"/>
      <c r="I9" s="593"/>
      <c r="J9" s="572"/>
      <c r="K9" s="593"/>
      <c r="L9" s="572"/>
      <c r="M9" s="593"/>
      <c r="N9" s="572"/>
      <c r="O9" s="593"/>
      <c r="P9" s="572"/>
      <c r="Q9" s="593"/>
      <c r="R9" s="572"/>
      <c r="S9" s="593"/>
      <c r="T9" s="572"/>
      <c r="U9" s="593"/>
      <c r="V9" s="572"/>
      <c r="W9" s="593"/>
      <c r="X9" s="572"/>
      <c r="Y9" s="593"/>
      <c r="Z9" s="572"/>
      <c r="AA9" s="593"/>
      <c r="AB9" s="572"/>
      <c r="AC9" s="593"/>
      <c r="AD9" s="572"/>
      <c r="AE9" s="593"/>
      <c r="AF9" s="572"/>
      <c r="AG9" s="593"/>
      <c r="AH9" s="572"/>
      <c r="AI9" s="593"/>
      <c r="AJ9" s="572"/>
      <c r="AK9" s="593"/>
      <c r="AL9" s="572"/>
      <c r="AM9" s="593"/>
      <c r="AN9" s="572"/>
      <c r="AO9" s="593"/>
      <c r="AP9" s="572"/>
      <c r="AQ9" s="593"/>
      <c r="AR9" s="572"/>
      <c r="AS9" s="593"/>
      <c r="AT9" s="572"/>
      <c r="AU9" s="593"/>
      <c r="AV9" s="572"/>
      <c r="AW9" s="593"/>
      <c r="AX9" s="572"/>
      <c r="AY9" s="593"/>
      <c r="AZ9" s="572"/>
      <c r="BA9" s="593"/>
      <c r="BB9" s="572"/>
      <c r="BC9" s="593"/>
      <c r="BE9" s="262"/>
      <c r="BF9" s="81">
        <v>2</v>
      </c>
      <c r="BG9" s="269" t="s">
        <v>370</v>
      </c>
      <c r="BH9" s="82" t="s">
        <v>462</v>
      </c>
      <c r="BI9" s="81" t="str">
        <f t="shared" ref="BI9:BI16" si="20">IF(OR(ISERR(AVERAGE(H9:AV9)),ISBLANK(F9)),"N/A",IF(OR(F9&lt;AVERAGE(H9:AV9)*0.75, F9&gt;AVERAGE(H9:AV9)*1.25), "&lt;&gt;Average", "ok"))</f>
        <v>N/A</v>
      </c>
      <c r="BJ9" s="270" t="s">
        <v>466</v>
      </c>
      <c r="BK9" s="98" t="str">
        <f t="shared" ref="BK9:BK16" si="21">IF(OR(ISBLANK(H9),ISBLANK(J9)),"N/A",IF(ABS((J9-H9)/H9)&gt;1,"&gt; 100%","ok"))</f>
        <v>N/A</v>
      </c>
      <c r="BL9" s="270"/>
      <c r="BM9" s="79" t="str">
        <f t="shared" ref="BM9:BM16" si="22">IF(OR(ISBLANK(L9),ISBLANK(J9)),"N/A",IF(ABS((L9-J9)/J9)&gt;0.25,"&gt; 25%","ok"))</f>
        <v>N/A</v>
      </c>
      <c r="BN9" s="270"/>
      <c r="BO9" s="79" t="str">
        <f t="shared" si="0"/>
        <v>N/A</v>
      </c>
      <c r="BP9" s="270"/>
      <c r="BQ9" s="79" t="str">
        <f t="shared" si="1"/>
        <v>N/A</v>
      </c>
      <c r="BR9" s="270"/>
      <c r="BS9" s="79" t="str">
        <f t="shared" si="2"/>
        <v>N/A</v>
      </c>
      <c r="BT9" s="270"/>
      <c r="BU9" s="79" t="str">
        <f t="shared" si="3"/>
        <v>N/A</v>
      </c>
      <c r="BV9" s="270"/>
      <c r="BW9" s="79" t="str">
        <f t="shared" si="4"/>
        <v>N/A</v>
      </c>
      <c r="BX9" s="270"/>
      <c r="BY9" s="79" t="str">
        <f t="shared" si="5"/>
        <v>N/A</v>
      </c>
      <c r="BZ9" s="270"/>
      <c r="CA9" s="79" t="str">
        <f t="shared" si="6"/>
        <v>N/A</v>
      </c>
      <c r="CB9" s="270"/>
      <c r="CC9" s="79" t="str">
        <f t="shared" si="7"/>
        <v>N/A</v>
      </c>
      <c r="CD9" s="270"/>
      <c r="CE9" s="79" t="str">
        <f t="shared" si="8"/>
        <v>N/A</v>
      </c>
      <c r="CF9" s="270"/>
      <c r="CG9" s="79" t="str">
        <f t="shared" si="9"/>
        <v>N/A</v>
      </c>
      <c r="CH9" s="270"/>
      <c r="CI9" s="79" t="str">
        <f t="shared" si="10"/>
        <v>N/A</v>
      </c>
      <c r="CJ9" s="270"/>
      <c r="CK9" s="79" t="str">
        <f t="shared" si="11"/>
        <v>N/A</v>
      </c>
      <c r="CL9" s="270"/>
      <c r="CM9" s="79" t="str">
        <f t="shared" si="12"/>
        <v>N/A</v>
      </c>
      <c r="CN9" s="270"/>
      <c r="CO9" s="79" t="str">
        <f t="shared" si="13"/>
        <v>N/A</v>
      </c>
      <c r="CP9" s="270"/>
      <c r="CQ9" s="79" t="str">
        <f t="shared" si="14"/>
        <v>N/A</v>
      </c>
      <c r="CR9" s="270"/>
      <c r="CS9" s="79" t="str">
        <f t="shared" si="15"/>
        <v>N/A</v>
      </c>
      <c r="CT9" s="270"/>
      <c r="CU9" s="79" t="str">
        <f t="shared" si="16"/>
        <v>N/A</v>
      </c>
      <c r="CV9" s="270"/>
      <c r="CW9" s="79" t="str">
        <f t="shared" si="17"/>
        <v>N/A</v>
      </c>
      <c r="CX9" s="270"/>
      <c r="CY9" s="79" t="str">
        <f t="shared" si="18"/>
        <v>N/A</v>
      </c>
      <c r="CZ9" s="270"/>
      <c r="DA9" s="79" t="str">
        <f t="shared" si="19"/>
        <v>N/A</v>
      </c>
      <c r="DB9" s="270"/>
      <c r="DC9" s="79" t="str">
        <f t="shared" ref="DC9:DC15" si="23">IF(OR(ISBLANK(BB9),ISBLANK(AZ9)),"N/A",IF(ABS((BB9-AZ9)/AZ9)&gt;0.25,"&gt; 25%","ok"))</f>
        <v>N/A</v>
      </c>
      <c r="DE9" s="255">
        <v>12</v>
      </c>
      <c r="DF9" s="628" t="s">
        <v>219</v>
      </c>
      <c r="DG9" s="255">
        <v>212000</v>
      </c>
      <c r="DH9" s="255">
        <v>11250</v>
      </c>
      <c r="DI9" s="255">
        <v>390</v>
      </c>
      <c r="DJ9" s="255">
        <v>11670</v>
      </c>
    </row>
    <row r="10" spans="1:114" s="272" customFormat="1" ht="20.25" customHeight="1" x14ac:dyDescent="0.2">
      <c r="A10" s="271" t="s">
        <v>457</v>
      </c>
      <c r="B10" s="257">
        <v>5</v>
      </c>
      <c r="C10" s="258">
        <v>3</v>
      </c>
      <c r="D10" s="268" t="s">
        <v>406</v>
      </c>
      <c r="E10" s="260" t="s">
        <v>60</v>
      </c>
      <c r="F10" s="572"/>
      <c r="G10" s="593"/>
      <c r="H10" s="572"/>
      <c r="I10" s="593"/>
      <c r="J10" s="572"/>
      <c r="K10" s="593"/>
      <c r="L10" s="572"/>
      <c r="M10" s="593"/>
      <c r="N10" s="572"/>
      <c r="O10" s="593"/>
      <c r="P10" s="572"/>
      <c r="Q10" s="593"/>
      <c r="R10" s="572"/>
      <c r="S10" s="593"/>
      <c r="T10" s="572"/>
      <c r="U10" s="593"/>
      <c r="V10" s="572"/>
      <c r="W10" s="593"/>
      <c r="X10" s="572"/>
      <c r="Y10" s="593"/>
      <c r="Z10" s="572"/>
      <c r="AA10" s="593"/>
      <c r="AB10" s="572"/>
      <c r="AC10" s="593"/>
      <c r="AD10" s="572"/>
      <c r="AE10" s="593"/>
      <c r="AF10" s="572"/>
      <c r="AG10" s="593"/>
      <c r="AH10" s="572"/>
      <c r="AI10" s="593"/>
      <c r="AJ10" s="572"/>
      <c r="AK10" s="593"/>
      <c r="AL10" s="572"/>
      <c r="AM10" s="593"/>
      <c r="AN10" s="572"/>
      <c r="AO10" s="593"/>
      <c r="AP10" s="572"/>
      <c r="AQ10" s="593"/>
      <c r="AR10" s="572"/>
      <c r="AS10" s="593"/>
      <c r="AT10" s="572"/>
      <c r="AU10" s="593"/>
      <c r="AV10" s="698">
        <f>AV8</f>
        <v>4.7824648702533503</v>
      </c>
      <c r="AW10" s="593"/>
      <c r="AX10" s="698">
        <f>AX8</f>
        <v>3.9387918145690577</v>
      </c>
      <c r="AY10" s="593"/>
      <c r="AZ10" s="698">
        <f>AZ8</f>
        <v>9.548855347368848</v>
      </c>
      <c r="BA10" s="593"/>
      <c r="BB10" s="572"/>
      <c r="BC10" s="593"/>
      <c r="BE10" s="273"/>
      <c r="BF10" s="98">
        <v>3</v>
      </c>
      <c r="BG10" s="269" t="s">
        <v>418</v>
      </c>
      <c r="BH10" s="81" t="s">
        <v>462</v>
      </c>
      <c r="BI10" s="81" t="str">
        <f t="shared" si="20"/>
        <v>N/A</v>
      </c>
      <c r="BJ10" s="270" t="s">
        <v>466</v>
      </c>
      <c r="BK10" s="98" t="str">
        <f t="shared" si="21"/>
        <v>N/A</v>
      </c>
      <c r="BL10" s="270"/>
      <c r="BM10" s="79" t="str">
        <f t="shared" si="22"/>
        <v>N/A</v>
      </c>
      <c r="BN10" s="270"/>
      <c r="BO10" s="79" t="str">
        <f t="shared" si="0"/>
        <v>N/A</v>
      </c>
      <c r="BP10" s="270"/>
      <c r="BQ10" s="79" t="str">
        <f t="shared" si="1"/>
        <v>N/A</v>
      </c>
      <c r="BR10" s="270"/>
      <c r="BS10" s="79" t="str">
        <f t="shared" si="2"/>
        <v>N/A</v>
      </c>
      <c r="BT10" s="270"/>
      <c r="BU10" s="79" t="str">
        <f t="shared" si="3"/>
        <v>N/A</v>
      </c>
      <c r="BV10" s="270"/>
      <c r="BW10" s="79" t="str">
        <f t="shared" si="4"/>
        <v>N/A</v>
      </c>
      <c r="BX10" s="270"/>
      <c r="BY10" s="79" t="str">
        <f t="shared" si="5"/>
        <v>N/A</v>
      </c>
      <c r="BZ10" s="270"/>
      <c r="CA10" s="79" t="str">
        <f t="shared" si="6"/>
        <v>N/A</v>
      </c>
      <c r="CB10" s="270"/>
      <c r="CC10" s="79" t="str">
        <f t="shared" si="7"/>
        <v>N/A</v>
      </c>
      <c r="CD10" s="270"/>
      <c r="CE10" s="79" t="str">
        <f t="shared" si="8"/>
        <v>N/A</v>
      </c>
      <c r="CF10" s="270"/>
      <c r="CG10" s="79" t="str">
        <f t="shared" si="9"/>
        <v>N/A</v>
      </c>
      <c r="CH10" s="270"/>
      <c r="CI10" s="79" t="str">
        <f t="shared" si="10"/>
        <v>N/A</v>
      </c>
      <c r="CJ10" s="270"/>
      <c r="CK10" s="79" t="str">
        <f t="shared" si="11"/>
        <v>N/A</v>
      </c>
      <c r="CL10" s="270"/>
      <c r="CM10" s="79" t="str">
        <f t="shared" si="12"/>
        <v>N/A</v>
      </c>
      <c r="CN10" s="270"/>
      <c r="CO10" s="79" t="str">
        <f t="shared" si="13"/>
        <v>N/A</v>
      </c>
      <c r="CP10" s="270"/>
      <c r="CQ10" s="79" t="str">
        <f t="shared" si="14"/>
        <v>N/A</v>
      </c>
      <c r="CR10" s="270"/>
      <c r="CS10" s="79" t="str">
        <f t="shared" si="15"/>
        <v>N/A</v>
      </c>
      <c r="CT10" s="270"/>
      <c r="CU10" s="79" t="str">
        <f t="shared" si="16"/>
        <v>N/A</v>
      </c>
      <c r="CV10" s="270"/>
      <c r="CW10" s="79" t="str">
        <f t="shared" si="17"/>
        <v>N/A</v>
      </c>
      <c r="CX10" s="270"/>
      <c r="CY10" s="79" t="str">
        <f t="shared" si="18"/>
        <v>ok</v>
      </c>
      <c r="CZ10" s="270"/>
      <c r="DA10" s="79" t="str">
        <f>IF(OR(ISBLANK(AZ10),ISBLANK(AX10)),"N/A",IF(ABS((AZ10-AX10)/AX10)&gt;0.25,"&gt; 25%","ok"))</f>
        <v>&gt; 25%</v>
      </c>
      <c r="DB10" s="270"/>
      <c r="DC10" s="79" t="str">
        <f t="shared" si="23"/>
        <v>N/A</v>
      </c>
      <c r="DE10" s="255">
        <v>20</v>
      </c>
      <c r="DF10" s="628" t="s">
        <v>95</v>
      </c>
      <c r="DG10" s="255">
        <v>472.4</v>
      </c>
      <c r="DH10" s="255">
        <v>315.59999999999997</v>
      </c>
      <c r="DI10" s="255"/>
      <c r="DJ10" s="255">
        <v>315.59999999999997</v>
      </c>
    </row>
    <row r="11" spans="1:114" s="261" customFormat="1" ht="26.25" customHeight="1" x14ac:dyDescent="0.2">
      <c r="A11" s="256"/>
      <c r="B11" s="257">
        <v>8</v>
      </c>
      <c r="C11" s="267">
        <v>4</v>
      </c>
      <c r="D11" s="274" t="s">
        <v>130</v>
      </c>
      <c r="E11" s="260" t="s">
        <v>60</v>
      </c>
      <c r="F11" s="572"/>
      <c r="G11" s="593"/>
      <c r="H11" s="572"/>
      <c r="I11" s="593"/>
      <c r="J11" s="572"/>
      <c r="K11" s="593"/>
      <c r="L11" s="572"/>
      <c r="M11" s="593"/>
      <c r="N11" s="572"/>
      <c r="O11" s="593"/>
      <c r="P11" s="572"/>
      <c r="Q11" s="593"/>
      <c r="R11" s="572"/>
      <c r="S11" s="593"/>
      <c r="T11" s="572"/>
      <c r="U11" s="593"/>
      <c r="V11" s="572"/>
      <c r="W11" s="593"/>
      <c r="X11" s="572"/>
      <c r="Y11" s="593"/>
      <c r="Z11" s="572"/>
      <c r="AA11" s="593"/>
      <c r="AB11" s="572"/>
      <c r="AC11" s="593"/>
      <c r="AD11" s="572"/>
      <c r="AE11" s="593"/>
      <c r="AF11" s="572"/>
      <c r="AG11" s="593"/>
      <c r="AH11" s="572"/>
      <c r="AI11" s="593"/>
      <c r="AJ11" s="572"/>
      <c r="AK11" s="593"/>
      <c r="AL11" s="572"/>
      <c r="AM11" s="593"/>
      <c r="AN11" s="572"/>
      <c r="AO11" s="593"/>
      <c r="AP11" s="572"/>
      <c r="AQ11" s="593"/>
      <c r="AR11" s="572"/>
      <c r="AS11" s="593"/>
      <c r="AT11" s="572"/>
      <c r="AU11" s="593"/>
      <c r="AV11" s="572"/>
      <c r="AW11" s="593"/>
      <c r="AX11" s="572"/>
      <c r="AY11" s="593"/>
      <c r="AZ11" s="572"/>
      <c r="BA11" s="593"/>
      <c r="BB11" s="572"/>
      <c r="BC11" s="593"/>
      <c r="BE11" s="262"/>
      <c r="BF11" s="81">
        <v>4</v>
      </c>
      <c r="BG11" s="269" t="s">
        <v>147</v>
      </c>
      <c r="BH11" s="82" t="s">
        <v>462</v>
      </c>
      <c r="BI11" s="81" t="str">
        <f t="shared" si="20"/>
        <v>N/A</v>
      </c>
      <c r="BJ11" s="270" t="s">
        <v>466</v>
      </c>
      <c r="BK11" s="98" t="str">
        <f>IF(OR(ISBLANK(H11),ISBLANK(J11)),"N/A",IF(ABS((J11-H11)/H11)&gt;1,"&gt; 100%","ok"))</f>
        <v>N/A</v>
      </c>
      <c r="BL11" s="270"/>
      <c r="BM11" s="79" t="str">
        <f t="shared" si="22"/>
        <v>N/A</v>
      </c>
      <c r="BN11" s="270"/>
      <c r="BO11" s="79" t="str">
        <f t="shared" si="0"/>
        <v>N/A</v>
      </c>
      <c r="BP11" s="270"/>
      <c r="BQ11" s="79" t="str">
        <f t="shared" si="1"/>
        <v>N/A</v>
      </c>
      <c r="BR11" s="270"/>
      <c r="BS11" s="79" t="str">
        <f t="shared" si="2"/>
        <v>N/A</v>
      </c>
      <c r="BT11" s="270"/>
      <c r="BU11" s="79" t="str">
        <f t="shared" si="3"/>
        <v>N/A</v>
      </c>
      <c r="BV11" s="270"/>
      <c r="BW11" s="79" t="str">
        <f t="shared" si="4"/>
        <v>N/A</v>
      </c>
      <c r="BX11" s="270"/>
      <c r="BY11" s="79" t="str">
        <f t="shared" si="5"/>
        <v>N/A</v>
      </c>
      <c r="BZ11" s="270"/>
      <c r="CA11" s="79" t="str">
        <f t="shared" si="6"/>
        <v>N/A</v>
      </c>
      <c r="CB11" s="270"/>
      <c r="CC11" s="79" t="str">
        <f t="shared" si="7"/>
        <v>N/A</v>
      </c>
      <c r="CD11" s="270"/>
      <c r="CE11" s="79" t="str">
        <f t="shared" si="8"/>
        <v>N/A</v>
      </c>
      <c r="CF11" s="270"/>
      <c r="CG11" s="79" t="str">
        <f t="shared" si="9"/>
        <v>N/A</v>
      </c>
      <c r="CH11" s="270"/>
      <c r="CI11" s="79" t="str">
        <f t="shared" si="10"/>
        <v>N/A</v>
      </c>
      <c r="CJ11" s="270"/>
      <c r="CK11" s="79" t="str">
        <f t="shared" si="11"/>
        <v>N/A</v>
      </c>
      <c r="CL11" s="270"/>
      <c r="CM11" s="79" t="str">
        <f t="shared" si="12"/>
        <v>N/A</v>
      </c>
      <c r="CN11" s="270"/>
      <c r="CO11" s="79" t="str">
        <f t="shared" si="13"/>
        <v>N/A</v>
      </c>
      <c r="CP11" s="270"/>
      <c r="CQ11" s="79" t="str">
        <f t="shared" si="14"/>
        <v>N/A</v>
      </c>
      <c r="CR11" s="270"/>
      <c r="CS11" s="79" t="str">
        <f t="shared" si="15"/>
        <v>N/A</v>
      </c>
      <c r="CT11" s="270"/>
      <c r="CU11" s="79" t="str">
        <f t="shared" si="16"/>
        <v>N/A</v>
      </c>
      <c r="CV11" s="270"/>
      <c r="CW11" s="79" t="str">
        <f t="shared" si="17"/>
        <v>N/A</v>
      </c>
      <c r="CX11" s="270"/>
      <c r="CY11" s="79" t="str">
        <f t="shared" si="18"/>
        <v>N/A</v>
      </c>
      <c r="CZ11" s="270"/>
      <c r="DA11" s="79" t="str">
        <f t="shared" si="19"/>
        <v>N/A</v>
      </c>
      <c r="DB11" s="270"/>
      <c r="DC11" s="79" t="str">
        <f t="shared" si="23"/>
        <v>N/A</v>
      </c>
      <c r="DE11" s="255">
        <v>24</v>
      </c>
      <c r="DF11" s="628" t="s">
        <v>220</v>
      </c>
      <c r="DG11" s="255">
        <v>1259000</v>
      </c>
      <c r="DH11" s="255">
        <v>148000</v>
      </c>
      <c r="DI11" s="255">
        <v>400</v>
      </c>
      <c r="DJ11" s="255">
        <v>148400</v>
      </c>
    </row>
    <row r="12" spans="1:114" s="277" customFormat="1" ht="26.25" customHeight="1" x14ac:dyDescent="0.2">
      <c r="A12" s="271" t="s">
        <v>457</v>
      </c>
      <c r="B12" s="257">
        <v>124</v>
      </c>
      <c r="C12" s="275">
        <v>5</v>
      </c>
      <c r="D12" s="276" t="s">
        <v>407</v>
      </c>
      <c r="E12" s="260" t="s">
        <v>60</v>
      </c>
      <c r="F12" s="573"/>
      <c r="G12" s="594"/>
      <c r="H12" s="573"/>
      <c r="I12" s="594"/>
      <c r="J12" s="573"/>
      <c r="K12" s="594"/>
      <c r="L12" s="573"/>
      <c r="M12" s="594"/>
      <c r="N12" s="573"/>
      <c r="O12" s="594"/>
      <c r="P12" s="573"/>
      <c r="Q12" s="594"/>
      <c r="R12" s="573"/>
      <c r="S12" s="594"/>
      <c r="T12" s="573"/>
      <c r="U12" s="594"/>
      <c r="V12" s="573"/>
      <c r="W12" s="594"/>
      <c r="X12" s="573"/>
      <c r="Y12" s="594"/>
      <c r="Z12" s="573"/>
      <c r="AA12" s="594"/>
      <c r="AB12" s="573"/>
      <c r="AC12" s="594"/>
      <c r="AD12" s="573"/>
      <c r="AE12" s="594"/>
      <c r="AF12" s="573"/>
      <c r="AG12" s="594"/>
      <c r="AH12" s="573"/>
      <c r="AI12" s="594"/>
      <c r="AJ12" s="573"/>
      <c r="AK12" s="594"/>
      <c r="AL12" s="573"/>
      <c r="AM12" s="594"/>
      <c r="AN12" s="573"/>
      <c r="AO12" s="594"/>
      <c r="AP12" s="573"/>
      <c r="AQ12" s="594"/>
      <c r="AR12" s="573"/>
      <c r="AS12" s="594"/>
      <c r="AT12" s="573"/>
      <c r="AU12" s="594"/>
      <c r="AV12" s="573"/>
      <c r="AW12" s="594"/>
      <c r="AX12" s="573"/>
      <c r="AY12" s="594"/>
      <c r="AZ12" s="573"/>
      <c r="BA12" s="594"/>
      <c r="BB12" s="573"/>
      <c r="BC12" s="594"/>
      <c r="BE12" s="273"/>
      <c r="BF12" s="98">
        <v>5</v>
      </c>
      <c r="BG12" s="278" t="s">
        <v>417</v>
      </c>
      <c r="BH12" s="82" t="s">
        <v>462</v>
      </c>
      <c r="BI12" s="81" t="str">
        <f t="shared" si="20"/>
        <v>N/A</v>
      </c>
      <c r="BJ12" s="270" t="s">
        <v>466</v>
      </c>
      <c r="BK12" s="98" t="str">
        <f t="shared" si="21"/>
        <v>N/A</v>
      </c>
      <c r="BL12" s="270"/>
      <c r="BM12" s="79" t="str">
        <f t="shared" si="22"/>
        <v>N/A</v>
      </c>
      <c r="BN12" s="270"/>
      <c r="BO12" s="79" t="str">
        <f t="shared" si="0"/>
        <v>N/A</v>
      </c>
      <c r="BP12" s="270"/>
      <c r="BQ12" s="79" t="str">
        <f t="shared" si="1"/>
        <v>N/A</v>
      </c>
      <c r="BR12" s="270"/>
      <c r="BS12" s="79" t="str">
        <f t="shared" si="2"/>
        <v>N/A</v>
      </c>
      <c r="BT12" s="270"/>
      <c r="BU12" s="79" t="str">
        <f t="shared" si="3"/>
        <v>N/A</v>
      </c>
      <c r="BV12" s="270"/>
      <c r="BW12" s="79" t="str">
        <f t="shared" si="4"/>
        <v>N/A</v>
      </c>
      <c r="BX12" s="270"/>
      <c r="BY12" s="79" t="str">
        <f t="shared" si="5"/>
        <v>N/A</v>
      </c>
      <c r="BZ12" s="270"/>
      <c r="CA12" s="79" t="str">
        <f t="shared" si="6"/>
        <v>N/A</v>
      </c>
      <c r="CB12" s="270"/>
      <c r="CC12" s="79" t="str">
        <f t="shared" si="7"/>
        <v>N/A</v>
      </c>
      <c r="CD12" s="270"/>
      <c r="CE12" s="79" t="str">
        <f t="shared" si="8"/>
        <v>N/A</v>
      </c>
      <c r="CF12" s="270"/>
      <c r="CG12" s="79" t="str">
        <f t="shared" si="9"/>
        <v>N/A</v>
      </c>
      <c r="CH12" s="270"/>
      <c r="CI12" s="79" t="str">
        <f t="shared" si="10"/>
        <v>N/A</v>
      </c>
      <c r="CJ12" s="270"/>
      <c r="CK12" s="79" t="str">
        <f t="shared" si="11"/>
        <v>N/A</v>
      </c>
      <c r="CL12" s="270"/>
      <c r="CM12" s="79" t="str">
        <f t="shared" si="12"/>
        <v>N/A</v>
      </c>
      <c r="CN12" s="270"/>
      <c r="CO12" s="79" t="str">
        <f t="shared" si="13"/>
        <v>N/A</v>
      </c>
      <c r="CP12" s="270"/>
      <c r="CQ12" s="79" t="str">
        <f t="shared" si="14"/>
        <v>N/A</v>
      </c>
      <c r="CR12" s="270"/>
      <c r="CS12" s="79" t="str">
        <f t="shared" si="15"/>
        <v>N/A</v>
      </c>
      <c r="CT12" s="270"/>
      <c r="CU12" s="79" t="str">
        <f t="shared" si="16"/>
        <v>N/A</v>
      </c>
      <c r="CV12" s="270"/>
      <c r="CW12" s="79" t="str">
        <f t="shared" si="17"/>
        <v>N/A</v>
      </c>
      <c r="CX12" s="270"/>
      <c r="CY12" s="79" t="str">
        <f t="shared" si="18"/>
        <v>N/A</v>
      </c>
      <c r="CZ12" s="270"/>
      <c r="DA12" s="79" t="str">
        <f t="shared" si="19"/>
        <v>N/A</v>
      </c>
      <c r="DB12" s="270"/>
      <c r="DC12" s="79" t="str">
        <f>IF(OR(ISBLANK(BB12),ISBLANK(AZ12)),"N/A",IF(ABS((BB12-AZ12)/AZ12)&gt;0.25,"&gt; 25%","ok"))</f>
        <v>N/A</v>
      </c>
      <c r="DE12" s="255">
        <v>28</v>
      </c>
      <c r="DF12" s="628" t="s">
        <v>221</v>
      </c>
      <c r="DG12" s="255">
        <v>453.2</v>
      </c>
      <c r="DH12" s="255">
        <v>52</v>
      </c>
      <c r="DI12" s="255">
        <v>0</v>
      </c>
      <c r="DJ12" s="255">
        <v>52</v>
      </c>
    </row>
    <row r="13" spans="1:114" s="277" customFormat="1" ht="26.25" customHeight="1" x14ac:dyDescent="0.2">
      <c r="A13" s="279" t="s">
        <v>457</v>
      </c>
      <c r="B13" s="257">
        <v>127</v>
      </c>
      <c r="C13" s="267">
        <v>6</v>
      </c>
      <c r="D13" s="274" t="s">
        <v>131</v>
      </c>
      <c r="E13" s="260" t="s">
        <v>60</v>
      </c>
      <c r="F13" s="572"/>
      <c r="G13" s="593"/>
      <c r="H13" s="572"/>
      <c r="I13" s="593"/>
      <c r="J13" s="572"/>
      <c r="K13" s="593"/>
      <c r="L13" s="572"/>
      <c r="M13" s="593"/>
      <c r="N13" s="572"/>
      <c r="O13" s="593"/>
      <c r="P13" s="572"/>
      <c r="Q13" s="593"/>
      <c r="R13" s="572"/>
      <c r="S13" s="593"/>
      <c r="T13" s="572"/>
      <c r="U13" s="593"/>
      <c r="V13" s="572"/>
      <c r="W13" s="593"/>
      <c r="X13" s="572"/>
      <c r="Y13" s="593"/>
      <c r="Z13" s="572"/>
      <c r="AA13" s="593"/>
      <c r="AB13" s="572"/>
      <c r="AC13" s="593"/>
      <c r="AD13" s="572"/>
      <c r="AE13" s="593"/>
      <c r="AF13" s="572"/>
      <c r="AG13" s="593"/>
      <c r="AH13" s="572"/>
      <c r="AI13" s="593"/>
      <c r="AJ13" s="572"/>
      <c r="AK13" s="593"/>
      <c r="AL13" s="572"/>
      <c r="AM13" s="593"/>
      <c r="AN13" s="572"/>
      <c r="AO13" s="593"/>
      <c r="AP13" s="572"/>
      <c r="AQ13" s="593"/>
      <c r="AR13" s="572"/>
      <c r="AS13" s="593"/>
      <c r="AT13" s="572"/>
      <c r="AU13" s="593"/>
      <c r="AV13" s="572"/>
      <c r="AW13" s="593"/>
      <c r="AX13" s="572"/>
      <c r="AY13" s="593"/>
      <c r="AZ13" s="572"/>
      <c r="BA13" s="593"/>
      <c r="BB13" s="572"/>
      <c r="BC13" s="593"/>
      <c r="BE13" s="273"/>
      <c r="BF13" s="98">
        <v>6</v>
      </c>
      <c r="BG13" s="269" t="s">
        <v>362</v>
      </c>
      <c r="BH13" s="82" t="s">
        <v>462</v>
      </c>
      <c r="BI13" s="280" t="str">
        <f t="shared" si="20"/>
        <v>N/A</v>
      </c>
      <c r="BJ13" s="281" t="s">
        <v>466</v>
      </c>
      <c r="BK13" s="81" t="str">
        <f t="shared" si="21"/>
        <v>N/A</v>
      </c>
      <c r="BL13" s="281"/>
      <c r="BM13" s="79" t="str">
        <f t="shared" si="22"/>
        <v>N/A</v>
      </c>
      <c r="BN13" s="281"/>
      <c r="BO13" s="82" t="str">
        <f t="shared" si="0"/>
        <v>N/A</v>
      </c>
      <c r="BP13" s="270"/>
      <c r="BQ13" s="82" t="str">
        <f t="shared" si="1"/>
        <v>N/A</v>
      </c>
      <c r="BR13" s="270"/>
      <c r="BS13" s="82" t="str">
        <f t="shared" si="2"/>
        <v>N/A</v>
      </c>
      <c r="BT13" s="270"/>
      <c r="BU13" s="82" t="str">
        <f t="shared" si="3"/>
        <v>N/A</v>
      </c>
      <c r="BV13" s="270"/>
      <c r="BW13" s="82" t="str">
        <f t="shared" si="4"/>
        <v>N/A</v>
      </c>
      <c r="BX13" s="270"/>
      <c r="BY13" s="82" t="str">
        <f t="shared" si="5"/>
        <v>N/A</v>
      </c>
      <c r="BZ13" s="270"/>
      <c r="CA13" s="82" t="str">
        <f t="shared" si="6"/>
        <v>N/A</v>
      </c>
      <c r="CB13" s="270"/>
      <c r="CC13" s="82" t="str">
        <f t="shared" si="7"/>
        <v>N/A</v>
      </c>
      <c r="CD13" s="270"/>
      <c r="CE13" s="82" t="str">
        <f t="shared" si="8"/>
        <v>N/A</v>
      </c>
      <c r="CF13" s="270"/>
      <c r="CG13" s="79" t="str">
        <f t="shared" si="9"/>
        <v>N/A</v>
      </c>
      <c r="CH13" s="281"/>
      <c r="CI13" s="79" t="str">
        <f t="shared" si="10"/>
        <v>N/A</v>
      </c>
      <c r="CJ13" s="281"/>
      <c r="CK13" s="79" t="str">
        <f t="shared" si="11"/>
        <v>N/A</v>
      </c>
      <c r="CL13" s="281"/>
      <c r="CM13" s="79" t="str">
        <f t="shared" si="12"/>
        <v>N/A</v>
      </c>
      <c r="CN13" s="281"/>
      <c r="CO13" s="79" t="str">
        <f t="shared" si="13"/>
        <v>N/A</v>
      </c>
      <c r="CP13" s="281"/>
      <c r="CQ13" s="79" t="str">
        <f t="shared" si="14"/>
        <v>N/A</v>
      </c>
      <c r="CR13" s="281"/>
      <c r="CS13" s="79" t="str">
        <f t="shared" si="15"/>
        <v>N/A</v>
      </c>
      <c r="CT13" s="281"/>
      <c r="CU13" s="79" t="str">
        <f t="shared" si="16"/>
        <v>N/A</v>
      </c>
      <c r="CV13" s="281"/>
      <c r="CW13" s="79" t="str">
        <f t="shared" si="17"/>
        <v>N/A</v>
      </c>
      <c r="CX13" s="281"/>
      <c r="CY13" s="79" t="str">
        <f t="shared" si="18"/>
        <v>N/A</v>
      </c>
      <c r="CZ13" s="281"/>
      <c r="DA13" s="79" t="str">
        <f t="shared" si="19"/>
        <v>N/A</v>
      </c>
      <c r="DB13" s="281"/>
      <c r="DC13" s="79" t="str">
        <f t="shared" si="23"/>
        <v>N/A</v>
      </c>
      <c r="DE13" s="255">
        <v>32</v>
      </c>
      <c r="DF13" s="628" t="s">
        <v>222</v>
      </c>
      <c r="DG13" s="255">
        <v>1643000</v>
      </c>
      <c r="DH13" s="255">
        <v>292000</v>
      </c>
      <c r="DI13" s="255">
        <v>516299.99999999994</v>
      </c>
      <c r="DJ13" s="255">
        <v>876200</v>
      </c>
    </row>
    <row r="14" spans="1:114" s="277" customFormat="1" ht="26.25" customHeight="1" x14ac:dyDescent="0.2">
      <c r="A14" s="271"/>
      <c r="B14" s="257">
        <v>125</v>
      </c>
      <c r="C14" s="282">
        <v>7</v>
      </c>
      <c r="D14" s="617" t="s">
        <v>412</v>
      </c>
      <c r="E14" s="260" t="s">
        <v>60</v>
      </c>
      <c r="F14" s="583"/>
      <c r="G14" s="598"/>
      <c r="H14" s="583"/>
      <c r="I14" s="598"/>
      <c r="J14" s="583"/>
      <c r="K14" s="598"/>
      <c r="L14" s="583"/>
      <c r="M14" s="598"/>
      <c r="N14" s="583"/>
      <c r="O14" s="598"/>
      <c r="P14" s="583"/>
      <c r="Q14" s="598"/>
      <c r="R14" s="583"/>
      <c r="S14" s="598"/>
      <c r="T14" s="583"/>
      <c r="U14" s="598"/>
      <c r="V14" s="583"/>
      <c r="W14" s="598"/>
      <c r="X14" s="583"/>
      <c r="Y14" s="598"/>
      <c r="Z14" s="583"/>
      <c r="AA14" s="598"/>
      <c r="AB14" s="583"/>
      <c r="AC14" s="598"/>
      <c r="AD14" s="583"/>
      <c r="AE14" s="598"/>
      <c r="AF14" s="583"/>
      <c r="AG14" s="598"/>
      <c r="AH14" s="583"/>
      <c r="AI14" s="598"/>
      <c r="AJ14" s="583"/>
      <c r="AK14" s="598"/>
      <c r="AL14" s="583"/>
      <c r="AM14" s="598"/>
      <c r="AN14" s="583"/>
      <c r="AO14" s="598"/>
      <c r="AP14" s="583"/>
      <c r="AQ14" s="598"/>
      <c r="AR14" s="583"/>
      <c r="AS14" s="598"/>
      <c r="AT14" s="583"/>
      <c r="AU14" s="598"/>
      <c r="AV14" s="583"/>
      <c r="AW14" s="598"/>
      <c r="AX14" s="583"/>
      <c r="AY14" s="598"/>
      <c r="AZ14" s="583"/>
      <c r="BA14" s="598"/>
      <c r="BB14" s="583"/>
      <c r="BC14" s="598"/>
      <c r="BE14" s="273"/>
      <c r="BF14" s="81">
        <v>7</v>
      </c>
      <c r="BG14" s="283" t="s">
        <v>568</v>
      </c>
      <c r="BH14" s="82" t="s">
        <v>462</v>
      </c>
      <c r="BI14" s="280" t="str">
        <f t="shared" si="20"/>
        <v>N/A</v>
      </c>
      <c r="BJ14" s="281" t="s">
        <v>466</v>
      </c>
      <c r="BK14" s="81" t="str">
        <f t="shared" si="21"/>
        <v>N/A</v>
      </c>
      <c r="BL14" s="281"/>
      <c r="BM14" s="79" t="str">
        <f t="shared" si="22"/>
        <v>N/A</v>
      </c>
      <c r="BN14" s="281"/>
      <c r="BO14" s="95" t="str">
        <f t="shared" si="0"/>
        <v>N/A</v>
      </c>
      <c r="BP14" s="284"/>
      <c r="BQ14" s="95" t="str">
        <f t="shared" si="1"/>
        <v>N/A</v>
      </c>
      <c r="BR14" s="284"/>
      <c r="BS14" s="95" t="str">
        <f t="shared" si="2"/>
        <v>N/A</v>
      </c>
      <c r="BT14" s="284"/>
      <c r="BU14" s="95" t="str">
        <f t="shared" si="3"/>
        <v>N/A</v>
      </c>
      <c r="BV14" s="284"/>
      <c r="BW14" s="95" t="str">
        <f t="shared" si="4"/>
        <v>N/A</v>
      </c>
      <c r="BX14" s="284"/>
      <c r="BY14" s="95" t="str">
        <f t="shared" si="5"/>
        <v>N/A</v>
      </c>
      <c r="BZ14" s="284"/>
      <c r="CA14" s="95" t="str">
        <f t="shared" si="6"/>
        <v>N/A</v>
      </c>
      <c r="CB14" s="284"/>
      <c r="CC14" s="95" t="str">
        <f t="shared" si="7"/>
        <v>N/A</v>
      </c>
      <c r="CD14" s="284"/>
      <c r="CE14" s="95" t="str">
        <f t="shared" si="8"/>
        <v>N/A</v>
      </c>
      <c r="CF14" s="281"/>
      <c r="CG14" s="79" t="str">
        <f t="shared" si="9"/>
        <v>N/A</v>
      </c>
      <c r="CH14" s="281"/>
      <c r="CI14" s="79" t="str">
        <f t="shared" si="10"/>
        <v>N/A</v>
      </c>
      <c r="CJ14" s="281"/>
      <c r="CK14" s="79" t="str">
        <f t="shared" si="11"/>
        <v>N/A</v>
      </c>
      <c r="CL14" s="281"/>
      <c r="CM14" s="79" t="str">
        <f t="shared" si="12"/>
        <v>N/A</v>
      </c>
      <c r="CN14" s="281"/>
      <c r="CO14" s="79" t="str">
        <f t="shared" si="13"/>
        <v>N/A</v>
      </c>
      <c r="CP14" s="281"/>
      <c r="CQ14" s="79" t="str">
        <f t="shared" si="14"/>
        <v>N/A</v>
      </c>
      <c r="CR14" s="281"/>
      <c r="CS14" s="79" t="str">
        <f t="shared" si="15"/>
        <v>N/A</v>
      </c>
      <c r="CT14" s="281"/>
      <c r="CU14" s="79" t="str">
        <f t="shared" si="16"/>
        <v>N/A</v>
      </c>
      <c r="CV14" s="281"/>
      <c r="CW14" s="79" t="str">
        <f t="shared" si="17"/>
        <v>N/A</v>
      </c>
      <c r="CX14" s="281"/>
      <c r="CY14" s="79" t="str">
        <f t="shared" si="18"/>
        <v>N/A</v>
      </c>
      <c r="CZ14" s="281"/>
      <c r="DA14" s="79" t="str">
        <f t="shared" si="19"/>
        <v>N/A</v>
      </c>
      <c r="DB14" s="281"/>
      <c r="DC14" s="79" t="str">
        <f t="shared" si="23"/>
        <v>N/A</v>
      </c>
      <c r="DE14" s="255">
        <v>51</v>
      </c>
      <c r="DF14" s="628" t="s">
        <v>223</v>
      </c>
      <c r="DG14" s="255">
        <v>16710</v>
      </c>
      <c r="DH14" s="255">
        <v>6859</v>
      </c>
      <c r="DI14" s="255">
        <v>0</v>
      </c>
      <c r="DJ14" s="255">
        <v>7769</v>
      </c>
    </row>
    <row r="15" spans="1:114" s="277" customFormat="1" ht="20.25" customHeight="1" x14ac:dyDescent="0.2">
      <c r="A15" s="271"/>
      <c r="B15" s="257">
        <v>126</v>
      </c>
      <c r="C15" s="282">
        <v>8</v>
      </c>
      <c r="D15" s="274" t="s">
        <v>413</v>
      </c>
      <c r="E15" s="260" t="s">
        <v>60</v>
      </c>
      <c r="F15" s="574"/>
      <c r="G15" s="595"/>
      <c r="H15" s="574"/>
      <c r="I15" s="595"/>
      <c r="J15" s="574"/>
      <c r="K15" s="595"/>
      <c r="L15" s="574"/>
      <c r="M15" s="595"/>
      <c r="N15" s="574"/>
      <c r="O15" s="595"/>
      <c r="P15" s="574"/>
      <c r="Q15" s="595"/>
      <c r="R15" s="574"/>
      <c r="S15" s="595"/>
      <c r="T15" s="574"/>
      <c r="U15" s="595"/>
      <c r="V15" s="574"/>
      <c r="W15" s="595"/>
      <c r="X15" s="574"/>
      <c r="Y15" s="595"/>
      <c r="Z15" s="574"/>
      <c r="AA15" s="595"/>
      <c r="AB15" s="574"/>
      <c r="AC15" s="595"/>
      <c r="AD15" s="574"/>
      <c r="AE15" s="595"/>
      <c r="AF15" s="574"/>
      <c r="AG15" s="595"/>
      <c r="AH15" s="574"/>
      <c r="AI15" s="595"/>
      <c r="AJ15" s="574"/>
      <c r="AK15" s="595"/>
      <c r="AL15" s="574"/>
      <c r="AM15" s="595"/>
      <c r="AN15" s="574"/>
      <c r="AO15" s="595"/>
      <c r="AP15" s="574"/>
      <c r="AQ15" s="595"/>
      <c r="AR15" s="574"/>
      <c r="AS15" s="595"/>
      <c r="AT15" s="574"/>
      <c r="AU15" s="595"/>
      <c r="AV15" s="574"/>
      <c r="AW15" s="595"/>
      <c r="AX15" s="574"/>
      <c r="AY15" s="595"/>
      <c r="AZ15" s="574"/>
      <c r="BA15" s="595"/>
      <c r="BB15" s="574"/>
      <c r="BC15" s="595"/>
      <c r="BE15" s="273"/>
      <c r="BF15" s="98">
        <v>8</v>
      </c>
      <c r="BG15" s="285" t="s">
        <v>480</v>
      </c>
      <c r="BH15" s="82" t="s">
        <v>462</v>
      </c>
      <c r="BI15" s="280" t="str">
        <f t="shared" si="20"/>
        <v>N/A</v>
      </c>
      <c r="BJ15" s="281" t="s">
        <v>466</v>
      </c>
      <c r="BK15" s="81" t="str">
        <f t="shared" si="21"/>
        <v>N/A</v>
      </c>
      <c r="BL15" s="270"/>
      <c r="BM15" s="79" t="str">
        <f t="shared" si="22"/>
        <v>N/A</v>
      </c>
      <c r="BN15" s="281"/>
      <c r="BO15" s="82" t="str">
        <f t="shared" si="0"/>
        <v>N/A</v>
      </c>
      <c r="BP15" s="270"/>
      <c r="BQ15" s="82" t="str">
        <f t="shared" si="1"/>
        <v>N/A</v>
      </c>
      <c r="BR15" s="270"/>
      <c r="BS15" s="82" t="str">
        <f t="shared" si="2"/>
        <v>N/A</v>
      </c>
      <c r="BT15" s="270"/>
      <c r="BU15" s="82" t="str">
        <f t="shared" si="3"/>
        <v>N/A</v>
      </c>
      <c r="BV15" s="270"/>
      <c r="BW15" s="82" t="str">
        <f t="shared" si="4"/>
        <v>N/A</v>
      </c>
      <c r="BX15" s="270"/>
      <c r="BY15" s="82" t="str">
        <f t="shared" si="5"/>
        <v>N/A</v>
      </c>
      <c r="BZ15" s="270"/>
      <c r="CA15" s="82" t="str">
        <f t="shared" si="6"/>
        <v>N/A</v>
      </c>
      <c r="CB15" s="270"/>
      <c r="CC15" s="82" t="str">
        <f t="shared" si="7"/>
        <v>N/A</v>
      </c>
      <c r="CD15" s="270"/>
      <c r="CE15" s="82" t="str">
        <f t="shared" si="8"/>
        <v>N/A</v>
      </c>
      <c r="CF15" s="270"/>
      <c r="CG15" s="79" t="str">
        <f t="shared" si="9"/>
        <v>N/A</v>
      </c>
      <c r="CH15" s="281"/>
      <c r="CI15" s="79" t="str">
        <f t="shared" si="10"/>
        <v>N/A</v>
      </c>
      <c r="CJ15" s="281"/>
      <c r="CK15" s="79" t="str">
        <f t="shared" si="11"/>
        <v>N/A</v>
      </c>
      <c r="CL15" s="281"/>
      <c r="CM15" s="79" t="str">
        <f t="shared" si="12"/>
        <v>N/A</v>
      </c>
      <c r="CN15" s="281"/>
      <c r="CO15" s="79" t="str">
        <f t="shared" si="13"/>
        <v>N/A</v>
      </c>
      <c r="CP15" s="281"/>
      <c r="CQ15" s="79" t="str">
        <f t="shared" si="14"/>
        <v>N/A</v>
      </c>
      <c r="CR15" s="281"/>
      <c r="CS15" s="79" t="str">
        <f t="shared" si="15"/>
        <v>N/A</v>
      </c>
      <c r="CT15" s="281"/>
      <c r="CU15" s="79" t="str">
        <f t="shared" si="16"/>
        <v>N/A</v>
      </c>
      <c r="CV15" s="281"/>
      <c r="CW15" s="79" t="str">
        <f t="shared" si="17"/>
        <v>N/A</v>
      </c>
      <c r="CX15" s="281"/>
      <c r="CY15" s="79" t="str">
        <f t="shared" si="18"/>
        <v>N/A</v>
      </c>
      <c r="CZ15" s="281"/>
      <c r="DA15" s="79" t="str">
        <f t="shared" si="19"/>
        <v>N/A</v>
      </c>
      <c r="DB15" s="281"/>
      <c r="DC15" s="79" t="str">
        <f t="shared" si="23"/>
        <v>N/A</v>
      </c>
      <c r="DE15" s="255">
        <v>31</v>
      </c>
      <c r="DF15" s="628" t="s">
        <v>224</v>
      </c>
      <c r="DG15" s="255">
        <v>38710</v>
      </c>
      <c r="DH15" s="255">
        <v>8115</v>
      </c>
      <c r="DI15" s="255">
        <v>19760</v>
      </c>
      <c r="DJ15" s="255">
        <v>34680</v>
      </c>
    </row>
    <row r="16" spans="1:114" s="277" customFormat="1" ht="26.25" customHeight="1" x14ac:dyDescent="0.2">
      <c r="A16" s="271"/>
      <c r="B16" s="257">
        <v>128</v>
      </c>
      <c r="C16" s="286">
        <v>9</v>
      </c>
      <c r="D16" s="288" t="s">
        <v>134</v>
      </c>
      <c r="E16" s="287" t="s">
        <v>60</v>
      </c>
      <c r="F16" s="575"/>
      <c r="G16" s="596"/>
      <c r="H16" s="575"/>
      <c r="I16" s="596"/>
      <c r="J16" s="575"/>
      <c r="K16" s="596"/>
      <c r="L16" s="575"/>
      <c r="M16" s="596"/>
      <c r="N16" s="575"/>
      <c r="O16" s="596"/>
      <c r="P16" s="575"/>
      <c r="Q16" s="596"/>
      <c r="R16" s="575"/>
      <c r="S16" s="596"/>
      <c r="T16" s="575"/>
      <c r="U16" s="596"/>
      <c r="V16" s="575"/>
      <c r="W16" s="596"/>
      <c r="X16" s="575"/>
      <c r="Y16" s="596"/>
      <c r="Z16" s="575"/>
      <c r="AA16" s="596"/>
      <c r="AB16" s="575"/>
      <c r="AC16" s="596"/>
      <c r="AD16" s="575"/>
      <c r="AE16" s="596"/>
      <c r="AF16" s="575"/>
      <c r="AG16" s="596"/>
      <c r="AH16" s="575"/>
      <c r="AI16" s="596"/>
      <c r="AJ16" s="575"/>
      <c r="AK16" s="596"/>
      <c r="AL16" s="575"/>
      <c r="AM16" s="596"/>
      <c r="AN16" s="575"/>
      <c r="AO16" s="596"/>
      <c r="AP16" s="575"/>
      <c r="AQ16" s="596"/>
      <c r="AR16" s="575"/>
      <c r="AS16" s="596"/>
      <c r="AT16" s="575"/>
      <c r="AU16" s="596"/>
      <c r="AV16" s="575"/>
      <c r="AW16" s="596"/>
      <c r="AX16" s="575"/>
      <c r="AY16" s="596"/>
      <c r="AZ16" s="575"/>
      <c r="BA16" s="596"/>
      <c r="BB16" s="575"/>
      <c r="BC16" s="596"/>
      <c r="BE16" s="273"/>
      <c r="BF16" s="289">
        <v>9</v>
      </c>
      <c r="BG16" s="285" t="s">
        <v>467</v>
      </c>
      <c r="BH16" s="82" t="s">
        <v>462</v>
      </c>
      <c r="BI16" s="280" t="str">
        <f t="shared" si="20"/>
        <v>N/A</v>
      </c>
      <c r="BJ16" s="281" t="s">
        <v>466</v>
      </c>
      <c r="BK16" s="289" t="str">
        <f t="shared" si="21"/>
        <v>N/A</v>
      </c>
      <c r="BL16" s="284"/>
      <c r="BM16" s="79" t="str">
        <f t="shared" si="22"/>
        <v>N/A</v>
      </c>
      <c r="BN16" s="281"/>
      <c r="BO16" s="95" t="str">
        <f t="shared" si="0"/>
        <v>N/A</v>
      </c>
      <c r="BP16" s="284"/>
      <c r="BQ16" s="95" t="str">
        <f t="shared" si="1"/>
        <v>N/A</v>
      </c>
      <c r="BR16" s="284"/>
      <c r="BS16" s="95" t="str">
        <f t="shared" si="2"/>
        <v>N/A</v>
      </c>
      <c r="BT16" s="284"/>
      <c r="BU16" s="95" t="str">
        <f t="shared" si="3"/>
        <v>N/A</v>
      </c>
      <c r="BV16" s="284"/>
      <c r="BW16" s="95" t="str">
        <f t="shared" si="4"/>
        <v>N/A</v>
      </c>
      <c r="BX16" s="284"/>
      <c r="BY16" s="95" t="str">
        <f t="shared" si="5"/>
        <v>N/A</v>
      </c>
      <c r="BZ16" s="284"/>
      <c r="CA16" s="95" t="str">
        <f t="shared" si="6"/>
        <v>N/A</v>
      </c>
      <c r="CB16" s="284"/>
      <c r="CC16" s="95" t="str">
        <f t="shared" si="7"/>
        <v>N/A</v>
      </c>
      <c r="CD16" s="284"/>
      <c r="CE16" s="95" t="str">
        <f t="shared" si="8"/>
        <v>N/A</v>
      </c>
      <c r="CF16" s="284"/>
      <c r="CG16" s="79" t="str">
        <f t="shared" si="9"/>
        <v>N/A</v>
      </c>
      <c r="CH16" s="281"/>
      <c r="CI16" s="79" t="str">
        <f t="shared" si="10"/>
        <v>N/A</v>
      </c>
      <c r="CJ16" s="281"/>
      <c r="CK16" s="79" t="str">
        <f t="shared" si="11"/>
        <v>N/A</v>
      </c>
      <c r="CL16" s="281"/>
      <c r="CM16" s="79" t="str">
        <f t="shared" si="12"/>
        <v>N/A</v>
      </c>
      <c r="CN16" s="281"/>
      <c r="CO16" s="79" t="str">
        <f t="shared" si="13"/>
        <v>N/A</v>
      </c>
      <c r="CP16" s="281"/>
      <c r="CQ16" s="79" t="str">
        <f t="shared" si="14"/>
        <v>N/A</v>
      </c>
      <c r="CR16" s="281"/>
      <c r="CS16" s="79" t="str">
        <f t="shared" si="15"/>
        <v>N/A</v>
      </c>
      <c r="CT16" s="281"/>
      <c r="CU16" s="79" t="str">
        <f t="shared" si="16"/>
        <v>N/A</v>
      </c>
      <c r="CV16" s="281"/>
      <c r="CW16" s="79" t="str">
        <f t="shared" si="17"/>
        <v>N/A</v>
      </c>
      <c r="CX16" s="281"/>
      <c r="CY16" s="79" t="str">
        <f t="shared" si="18"/>
        <v>N/A</v>
      </c>
      <c r="CZ16" s="281"/>
      <c r="DA16" s="79" t="str">
        <f t="shared" si="19"/>
        <v>N/A</v>
      </c>
      <c r="DB16" s="281"/>
      <c r="DC16" s="79" t="str">
        <f>IF(OR(ISBLANK(BB16),ISBLANK(AZ16)),"N/A",IF(ABS((BB16-AZ16)/AZ16)&gt;0.25,"&gt; 25%","ok"))</f>
        <v>N/A</v>
      </c>
      <c r="DE16" s="255">
        <v>44</v>
      </c>
      <c r="DF16" s="628" t="s">
        <v>225</v>
      </c>
      <c r="DG16" s="255">
        <v>17930</v>
      </c>
      <c r="DH16" s="255">
        <v>700</v>
      </c>
      <c r="DI16" s="255">
        <v>0</v>
      </c>
      <c r="DJ16" s="255">
        <v>700</v>
      </c>
    </row>
    <row r="17" spans="1:117" s="277" customFormat="1" ht="8.25" customHeight="1" x14ac:dyDescent="0.2">
      <c r="A17" s="256"/>
      <c r="B17" s="273"/>
      <c r="BE17" s="273"/>
      <c r="BF17" s="96"/>
      <c r="BG17" s="290"/>
      <c r="BH17" s="80"/>
      <c r="BI17" s="96"/>
      <c r="BJ17" s="291"/>
      <c r="BK17" s="96"/>
      <c r="BL17" s="291"/>
      <c r="BM17" s="80"/>
      <c r="BN17" s="291"/>
      <c r="BO17" s="291"/>
      <c r="BP17" s="291"/>
      <c r="BQ17" s="291"/>
      <c r="BR17" s="291"/>
      <c r="BS17" s="291"/>
      <c r="BT17" s="291"/>
      <c r="BU17" s="80"/>
      <c r="BV17" s="291"/>
      <c r="BW17" s="80"/>
      <c r="BX17" s="291"/>
      <c r="BY17" s="80"/>
      <c r="BZ17" s="291"/>
      <c r="CA17" s="80"/>
      <c r="CB17" s="291"/>
      <c r="CC17" s="80"/>
      <c r="CD17" s="291"/>
      <c r="CE17" s="80"/>
      <c r="CF17" s="291"/>
      <c r="CG17" s="80"/>
      <c r="CH17" s="291"/>
      <c r="CI17" s="80"/>
      <c r="CJ17" s="291"/>
      <c r="CK17" s="80"/>
      <c r="CL17" s="291"/>
      <c r="CM17" s="80"/>
      <c r="CN17" s="291"/>
      <c r="CO17" s="80"/>
      <c r="CP17" s="291"/>
      <c r="CQ17" s="80"/>
      <c r="CR17" s="291"/>
      <c r="CS17" s="80"/>
      <c r="CT17" s="291"/>
      <c r="CU17" s="80"/>
      <c r="CV17" s="291"/>
      <c r="CW17" s="80"/>
      <c r="CX17" s="291"/>
      <c r="CY17" s="80"/>
      <c r="CZ17" s="291"/>
      <c r="DA17" s="80"/>
      <c r="DB17" s="291"/>
      <c r="DC17" s="80"/>
      <c r="DE17" s="255">
        <v>48</v>
      </c>
      <c r="DF17" s="628" t="s">
        <v>226</v>
      </c>
      <c r="DG17" s="255">
        <v>64</v>
      </c>
      <c r="DH17" s="255">
        <v>4</v>
      </c>
      <c r="DI17" s="255">
        <v>0</v>
      </c>
      <c r="DJ17" s="255">
        <v>116</v>
      </c>
    </row>
    <row r="18" spans="1:117" s="261" customFormat="1" ht="6.75" customHeight="1" x14ac:dyDescent="0.2">
      <c r="A18" s="198"/>
      <c r="B18" s="257"/>
      <c r="C18" s="292"/>
      <c r="D18" s="293"/>
      <c r="E18" s="292"/>
      <c r="G18" s="292"/>
      <c r="BE18" s="262"/>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E18" s="255">
        <v>50</v>
      </c>
      <c r="DF18" s="628" t="s">
        <v>227</v>
      </c>
      <c r="DG18" s="255">
        <v>393600</v>
      </c>
      <c r="DH18" s="255">
        <v>105000</v>
      </c>
      <c r="DI18" s="255">
        <v>1122000</v>
      </c>
      <c r="DJ18" s="255">
        <v>1227000</v>
      </c>
    </row>
    <row r="19" spans="1:117" ht="5.45" customHeight="1" x14ac:dyDescent="0.2">
      <c r="AU19" s="238"/>
      <c r="AY19" s="238"/>
      <c r="BF19" s="246" t="s">
        <v>569</v>
      </c>
      <c r="DE19" s="255">
        <v>52</v>
      </c>
      <c r="DF19" s="628" t="s">
        <v>228</v>
      </c>
      <c r="DG19" s="255">
        <v>611.5</v>
      </c>
      <c r="DH19" s="255">
        <v>80</v>
      </c>
      <c r="DI19" s="255">
        <v>0</v>
      </c>
      <c r="DJ19" s="255">
        <v>80</v>
      </c>
    </row>
    <row r="20" spans="1:117" ht="15.75" customHeight="1" x14ac:dyDescent="0.25">
      <c r="C20" s="295" t="s">
        <v>490</v>
      </c>
      <c r="D20" s="296"/>
      <c r="E20" s="297"/>
      <c r="F20" s="295"/>
      <c r="G20" s="242"/>
      <c r="H20" s="298"/>
      <c r="I20" s="299"/>
      <c r="J20" s="298"/>
      <c r="K20" s="299"/>
      <c r="L20" s="299"/>
      <c r="M20" s="299"/>
      <c r="N20" s="299"/>
      <c r="O20" s="299"/>
      <c r="P20" s="299"/>
      <c r="Q20" s="299"/>
      <c r="R20" s="298"/>
      <c r="S20" s="299"/>
      <c r="T20" s="298"/>
      <c r="U20" s="299"/>
      <c r="V20" s="298"/>
      <c r="W20" s="242"/>
      <c r="X20" s="298"/>
      <c r="Y20" s="242"/>
      <c r="Z20" s="298"/>
      <c r="AA20" s="242"/>
      <c r="AB20" s="298"/>
      <c r="AC20" s="242"/>
      <c r="AD20" s="298"/>
      <c r="AE20" s="242"/>
      <c r="AF20" s="298"/>
      <c r="AG20" s="242"/>
      <c r="AH20" s="298"/>
      <c r="AI20" s="299"/>
      <c r="AJ20" s="298"/>
      <c r="AK20" s="242"/>
      <c r="AL20" s="298"/>
      <c r="AM20" s="242"/>
      <c r="AN20" s="298"/>
      <c r="AO20" s="242"/>
      <c r="AP20" s="242"/>
      <c r="AQ20" s="242"/>
      <c r="AR20" s="242"/>
      <c r="AS20" s="242"/>
      <c r="AT20" s="298"/>
      <c r="AU20" s="219"/>
      <c r="AV20" s="220"/>
      <c r="AW20" s="220"/>
      <c r="AX20" s="298"/>
      <c r="AY20" s="219"/>
      <c r="AZ20" s="220"/>
      <c r="BA20" s="220"/>
      <c r="BB20" s="220"/>
      <c r="BC20" s="220"/>
      <c r="BD20" s="220"/>
      <c r="BF20" s="251" t="s">
        <v>201</v>
      </c>
      <c r="BG20" s="251" t="s">
        <v>202</v>
      </c>
      <c r="BH20" s="252" t="s">
        <v>203</v>
      </c>
      <c r="BI20" s="251" t="s">
        <v>209</v>
      </c>
      <c r="BJ20" s="252">
        <v>1990</v>
      </c>
      <c r="BK20" s="252">
        <v>1995</v>
      </c>
      <c r="BL20" s="253"/>
      <c r="BM20" s="252">
        <v>1996</v>
      </c>
      <c r="BN20" s="614"/>
      <c r="BO20" s="615">
        <v>1997</v>
      </c>
      <c r="BP20" s="614"/>
      <c r="BQ20" s="615">
        <v>1998</v>
      </c>
      <c r="BR20" s="614"/>
      <c r="BS20" s="615">
        <v>1999</v>
      </c>
      <c r="BT20" s="614"/>
      <c r="BU20" s="615">
        <v>2000</v>
      </c>
      <c r="BV20" s="614"/>
      <c r="BW20" s="615">
        <v>2001</v>
      </c>
      <c r="BX20" s="614"/>
      <c r="BY20" s="615">
        <v>2002</v>
      </c>
      <c r="BZ20" s="614"/>
      <c r="CA20" s="615">
        <v>2003</v>
      </c>
      <c r="CB20" s="614"/>
      <c r="CC20" s="615">
        <v>2004</v>
      </c>
      <c r="CD20" s="614"/>
      <c r="CE20" s="615">
        <v>2005</v>
      </c>
      <c r="CF20" s="614"/>
      <c r="CG20" s="615">
        <v>2006</v>
      </c>
      <c r="CH20" s="614"/>
      <c r="CI20" s="615">
        <v>2007</v>
      </c>
      <c r="CJ20" s="614"/>
      <c r="CK20" s="615">
        <v>2008</v>
      </c>
      <c r="CL20" s="614"/>
      <c r="CM20" s="615">
        <v>2009</v>
      </c>
      <c r="CN20" s="614"/>
      <c r="CO20" s="615">
        <v>2010</v>
      </c>
      <c r="CP20" s="614"/>
      <c r="CQ20" s="615">
        <v>2011</v>
      </c>
      <c r="CR20" s="614"/>
      <c r="CS20" s="615">
        <v>2012</v>
      </c>
      <c r="CT20" s="616"/>
      <c r="CU20" s="615">
        <v>2013</v>
      </c>
      <c r="CV20" s="614"/>
      <c r="CW20" s="615">
        <v>2014</v>
      </c>
      <c r="CX20" s="614"/>
      <c r="CY20" s="615">
        <v>2015</v>
      </c>
      <c r="CZ20" s="614"/>
      <c r="DA20" s="615">
        <v>2016</v>
      </c>
      <c r="DB20" s="614"/>
      <c r="DC20" s="615">
        <v>2017</v>
      </c>
      <c r="DE20" s="255">
        <v>112</v>
      </c>
      <c r="DF20" s="628" t="s">
        <v>229</v>
      </c>
      <c r="DG20" s="255">
        <v>128300.00000000001</v>
      </c>
      <c r="DH20" s="255">
        <v>34000</v>
      </c>
      <c r="DI20" s="255">
        <v>23900</v>
      </c>
      <c r="DJ20" s="255">
        <v>57900</v>
      </c>
    </row>
    <row r="21" spans="1:117" ht="15" customHeight="1" x14ac:dyDescent="0.2">
      <c r="C21" s="300" t="s">
        <v>484</v>
      </c>
      <c r="D21" s="771" t="s">
        <v>523</v>
      </c>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AZ21" s="771"/>
      <c r="BA21" s="771"/>
      <c r="BB21" s="771"/>
      <c r="BC21" s="771"/>
      <c r="BD21" s="771"/>
      <c r="BF21" s="98">
        <v>3</v>
      </c>
      <c r="BG21" s="269" t="s">
        <v>418</v>
      </c>
      <c r="BH21" s="81" t="s">
        <v>462</v>
      </c>
      <c r="BI21" s="81">
        <f>F10</f>
        <v>0</v>
      </c>
      <c r="BJ21" s="81">
        <f>H10</f>
        <v>0</v>
      </c>
      <c r="BK21" s="81">
        <f>J10</f>
        <v>0</v>
      </c>
      <c r="BL21" s="81"/>
      <c r="BM21" s="81">
        <f>L10</f>
        <v>0</v>
      </c>
      <c r="BN21" s="81"/>
      <c r="BO21" s="81">
        <f>N10</f>
        <v>0</v>
      </c>
      <c r="BP21" s="81"/>
      <c r="BQ21" s="81">
        <f>P10</f>
        <v>0</v>
      </c>
      <c r="BR21" s="81"/>
      <c r="BS21" s="81">
        <f>R10</f>
        <v>0</v>
      </c>
      <c r="BT21" s="81"/>
      <c r="BU21" s="81">
        <f>T10</f>
        <v>0</v>
      </c>
      <c r="BV21" s="81"/>
      <c r="BW21" s="81">
        <f>V10</f>
        <v>0</v>
      </c>
      <c r="BX21" s="81"/>
      <c r="BY21" s="81">
        <f>X10</f>
        <v>0</v>
      </c>
      <c r="BZ21" s="81"/>
      <c r="CA21" s="81">
        <f>Z10</f>
        <v>0</v>
      </c>
      <c r="CB21" s="81"/>
      <c r="CC21" s="81">
        <f>AB10</f>
        <v>0</v>
      </c>
      <c r="CD21" s="81"/>
      <c r="CE21" s="81">
        <f>AD10</f>
        <v>0</v>
      </c>
      <c r="CF21" s="81"/>
      <c r="CG21" s="81">
        <f>AF10</f>
        <v>0</v>
      </c>
      <c r="CH21" s="81"/>
      <c r="CI21" s="81">
        <f>AH10</f>
        <v>0</v>
      </c>
      <c r="CJ21" s="81"/>
      <c r="CK21" s="81">
        <f>AJ10</f>
        <v>0</v>
      </c>
      <c r="CL21" s="81"/>
      <c r="CM21" s="81">
        <f>AL10</f>
        <v>0</v>
      </c>
      <c r="CN21" s="81"/>
      <c r="CO21" s="81">
        <f>AN10</f>
        <v>0</v>
      </c>
      <c r="CP21" s="81"/>
      <c r="CQ21" s="81">
        <f>AP10</f>
        <v>0</v>
      </c>
      <c r="CR21" s="81"/>
      <c r="CS21" s="81">
        <f>AR10</f>
        <v>0</v>
      </c>
      <c r="CT21" s="81"/>
      <c r="CU21" s="81">
        <f>AT10</f>
        <v>0</v>
      </c>
      <c r="CV21" s="270"/>
      <c r="CW21" s="81">
        <f>AV10</f>
        <v>4.7824648702533503</v>
      </c>
      <c r="CX21" s="81"/>
      <c r="CY21" s="81">
        <f>AX10</f>
        <v>3.9387918145690577</v>
      </c>
      <c r="CZ21" s="270"/>
      <c r="DA21" s="81">
        <f>AZ10</f>
        <v>9.548855347368848</v>
      </c>
      <c r="DB21" s="81"/>
      <c r="DC21" s="81">
        <f>BB10</f>
        <v>0</v>
      </c>
      <c r="DE21" s="255">
        <v>84</v>
      </c>
      <c r="DF21" s="628" t="s">
        <v>230</v>
      </c>
      <c r="DG21" s="255">
        <v>39160</v>
      </c>
      <c r="DH21" s="255">
        <v>15260</v>
      </c>
      <c r="DI21" s="255">
        <v>6042</v>
      </c>
      <c r="DJ21" s="255">
        <v>21730</v>
      </c>
    </row>
    <row r="22" spans="1:117" ht="14.45" customHeight="1" x14ac:dyDescent="0.2">
      <c r="A22" s="302"/>
      <c r="C22" s="300" t="s">
        <v>484</v>
      </c>
      <c r="D22" s="771" t="s">
        <v>120</v>
      </c>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1"/>
      <c r="AQ22" s="771"/>
      <c r="AR22" s="771"/>
      <c r="AS22" s="771"/>
      <c r="AT22" s="771"/>
      <c r="AU22" s="771"/>
      <c r="AV22" s="771"/>
      <c r="AW22" s="771"/>
      <c r="AX22" s="771"/>
      <c r="AY22" s="771"/>
      <c r="AZ22" s="771"/>
      <c r="BA22" s="771"/>
      <c r="BB22" s="771"/>
      <c r="BC22" s="771"/>
      <c r="BD22" s="771"/>
      <c r="BF22" s="303">
        <v>10</v>
      </c>
      <c r="BG22" s="304" t="s">
        <v>433</v>
      </c>
      <c r="BH22" s="81" t="s">
        <v>462</v>
      </c>
      <c r="BI22" s="81">
        <f>(F8-F9)</f>
        <v>0</v>
      </c>
      <c r="BJ22" s="81">
        <f>(H8-H9)</f>
        <v>0</v>
      </c>
      <c r="BK22" s="81">
        <f>(J8-J9)</f>
        <v>0</v>
      </c>
      <c r="BL22" s="81"/>
      <c r="BM22" s="81">
        <f>(L8-L9)</f>
        <v>0</v>
      </c>
      <c r="BN22" s="81"/>
      <c r="BO22" s="81">
        <f>(N8-N9)</f>
        <v>0</v>
      </c>
      <c r="BP22" s="81"/>
      <c r="BQ22" s="81">
        <f>(P8-P9)</f>
        <v>0</v>
      </c>
      <c r="BR22" s="81"/>
      <c r="BS22" s="81">
        <f>(R8-R9)</f>
        <v>0</v>
      </c>
      <c r="BT22" s="81"/>
      <c r="BU22" s="81">
        <f>(T8-T9)</f>
        <v>0</v>
      </c>
      <c r="BV22" s="81"/>
      <c r="BW22" s="81">
        <f>(V8-V9)</f>
        <v>0</v>
      </c>
      <c r="BX22" s="81"/>
      <c r="BY22" s="81">
        <f>(X8-X9)</f>
        <v>0</v>
      </c>
      <c r="BZ22" s="81"/>
      <c r="CA22" s="81">
        <f>(Z8-Z9)</f>
        <v>0</v>
      </c>
      <c r="CB22" s="81"/>
      <c r="CC22" s="81">
        <f>(AB8-AB9)</f>
        <v>0</v>
      </c>
      <c r="CD22" s="81"/>
      <c r="CE22" s="81">
        <f>(AD8-AD9)</f>
        <v>0</v>
      </c>
      <c r="CF22" s="81"/>
      <c r="CG22" s="81">
        <f>(AF8-AF9)</f>
        <v>0</v>
      </c>
      <c r="CH22" s="81"/>
      <c r="CI22" s="81">
        <f>(AH8-AH9)</f>
        <v>0</v>
      </c>
      <c r="CJ22" s="81"/>
      <c r="CK22" s="81">
        <f>(AJ8-AJ9)</f>
        <v>0</v>
      </c>
      <c r="CL22" s="81"/>
      <c r="CM22" s="81">
        <f>(AL8-AL9)</f>
        <v>0</v>
      </c>
      <c r="CN22" s="81"/>
      <c r="CO22" s="81">
        <f>(AN8-AN9)</f>
        <v>0</v>
      </c>
      <c r="CP22" s="81"/>
      <c r="CQ22" s="81">
        <f>(AP8-AP9)</f>
        <v>0</v>
      </c>
      <c r="CR22" s="81"/>
      <c r="CS22" s="81">
        <f>(AR8-AR9)</f>
        <v>0</v>
      </c>
      <c r="CT22" s="81"/>
      <c r="CU22" s="81">
        <f>(AT8-AT9)</f>
        <v>0</v>
      </c>
      <c r="CV22" s="270"/>
      <c r="CW22" s="81">
        <f>(AV8-AV9)</f>
        <v>4.7824648702533503</v>
      </c>
      <c r="CX22" s="81"/>
      <c r="CY22" s="81">
        <f>(AX8-AX9)</f>
        <v>3.9387918145690577</v>
      </c>
      <c r="CZ22" s="270"/>
      <c r="DA22" s="81">
        <f>(AZ8-AZ9)</f>
        <v>9.548855347368848</v>
      </c>
      <c r="DB22" s="81"/>
      <c r="DC22" s="81">
        <f>(BB8-BB9)</f>
        <v>0</v>
      </c>
      <c r="DD22" s="305"/>
      <c r="DE22" s="255">
        <v>204</v>
      </c>
      <c r="DF22" s="628" t="s">
        <v>231</v>
      </c>
      <c r="DG22" s="255">
        <v>119200</v>
      </c>
      <c r="DH22" s="255">
        <v>10300</v>
      </c>
      <c r="DI22" s="255">
        <v>0</v>
      </c>
      <c r="DJ22" s="255">
        <v>26390</v>
      </c>
      <c r="DK22" s="305"/>
      <c r="DL22" s="305"/>
      <c r="DM22" s="305"/>
    </row>
    <row r="23" spans="1:117" ht="12" customHeight="1" x14ac:dyDescent="0.2">
      <c r="A23" s="302"/>
      <c r="B23" s="302"/>
      <c r="C23" s="300" t="s">
        <v>484</v>
      </c>
      <c r="D23" s="775" t="s">
        <v>524</v>
      </c>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5"/>
      <c r="AP23" s="775"/>
      <c r="AQ23" s="775"/>
      <c r="AR23" s="775"/>
      <c r="AS23" s="775"/>
      <c r="AT23" s="775"/>
      <c r="AU23" s="775"/>
      <c r="AV23" s="775"/>
      <c r="AW23" s="775"/>
      <c r="AX23" s="775"/>
      <c r="AY23" s="775"/>
      <c r="AZ23" s="775"/>
      <c r="BA23" s="775"/>
      <c r="BB23" s="775"/>
      <c r="BC23" s="775"/>
      <c r="BD23" s="775"/>
      <c r="BE23" s="307"/>
      <c r="BF23" s="308" t="s">
        <v>139</v>
      </c>
      <c r="BG23" s="304" t="s">
        <v>174</v>
      </c>
      <c r="BH23" s="81"/>
      <c r="BI23" s="81" t="str">
        <f>IF(OR(ISBLANK(F8),ISBLANK(F9),ISBLANK(F10)),"N/A",IF((BI21=BI22),"ok","&lt;&gt;"))</f>
        <v>N/A</v>
      </c>
      <c r="BJ23" s="81" t="str">
        <f>IF(OR(ISBLANK(H8),ISBLANK(H9),ISBLANK(H10)),"N/A",IF((BJ21=BJ22),"ok","&lt;&gt;"))</f>
        <v>N/A</v>
      </c>
      <c r="BK23" s="81" t="str">
        <f>IF(OR(ISBLANK(P8),ISBLANK(P9),ISBLANK(P10)),"N/A",IF((BK21=BK22),"ok","&lt;&gt;"))</f>
        <v>N/A</v>
      </c>
      <c r="BL23" s="81"/>
      <c r="BM23" s="81" t="str">
        <f>IF(OR(ISBLANK(L8),ISBLANK(L9),ISBLANK(L10)),"N/A",IF((BM21=BM22),"ok","&lt;&gt;"))</f>
        <v>N/A</v>
      </c>
      <c r="BN23" s="81"/>
      <c r="BO23" s="81" t="str">
        <f>IF(OR(ISBLANK(Q8),ISBLANK(Q9),ISBLANK(Q10)),"N/A",IF((BO21=BO22),"ok","&lt;&gt;"))</f>
        <v>N/A</v>
      </c>
      <c r="BP23" s="81"/>
      <c r="BQ23" s="81" t="str">
        <f>IF(OR(ISBLANK(S8),ISBLANK(S9),ISBLANK(S10)),"N/A",IF((BQ21=BQ22),"ok","&lt;&gt;"))</f>
        <v>N/A</v>
      </c>
      <c r="BR23" s="81"/>
      <c r="BS23" s="81" t="str">
        <f>IF(OR(ISBLANK(R8),ISBLANK(R9),ISBLANK(R10)),"N/A",IF((BS21=BS22),"ok","&lt;&gt;"))</f>
        <v>N/A</v>
      </c>
      <c r="BT23" s="81"/>
      <c r="BU23" s="81" t="str">
        <f>IF(OR(ISBLANK(T8),ISBLANK(T9),ISBLANK(T10)),"N/A",IF((BU21=BU22),"ok","&lt;&gt;"))</f>
        <v>N/A</v>
      </c>
      <c r="BV23" s="81"/>
      <c r="BW23" s="81" t="str">
        <f>IF(OR(ISBLANK(V8),ISBLANK(V9),ISBLANK(V10)),"N/A",IF((BW21=BW22),"ok","&lt;&gt;"))</f>
        <v>N/A</v>
      </c>
      <c r="BX23" s="81"/>
      <c r="BY23" s="81" t="str">
        <f>IF(OR(ISBLANK(X8),ISBLANK(X9),ISBLANK(X10)),"N/A",IF((BY21=BY22),"ok","&lt;&gt;"))</f>
        <v>N/A</v>
      </c>
      <c r="BZ23" s="81"/>
      <c r="CA23" s="81" t="str">
        <f>IF(OR(ISBLANK(Z8),ISBLANK(Z9),ISBLANK(Z10)),"N/A",IF((CA21=CA22),"ok","&lt;&gt;"))</f>
        <v>N/A</v>
      </c>
      <c r="CB23" s="81"/>
      <c r="CC23" s="81" t="str">
        <f>IF(OR(ISBLANK(AB8),ISBLANK(AB9),ISBLANK(AB10)),"N/A",IF((CC21=CC22),"ok","&lt;&gt;"))</f>
        <v>N/A</v>
      </c>
      <c r="CD23" s="81"/>
      <c r="CE23" s="81" t="str">
        <f>IF(OR(ISBLANK(AD8),ISBLANK(AD9),ISBLANK(AD10)),"N/A",IF((CE21=CE22),"ok","&lt;&gt;"))</f>
        <v>N/A</v>
      </c>
      <c r="CF23" s="81"/>
      <c r="CG23" s="81" t="str">
        <f>IF(OR(ISBLANK(AF8),ISBLANK(AF9),ISBLANK(AF10)),"N/A",IF((CG21=CG22),"ok","&lt;&gt;"))</f>
        <v>N/A</v>
      </c>
      <c r="CH23" s="81"/>
      <c r="CI23" s="81" t="str">
        <f>IF(OR(ISBLANK(AH8),ISBLANK(AH9),ISBLANK(AH10)),"N/A",IF((CI21=CI22),"ok","&lt;&gt;"))</f>
        <v>N/A</v>
      </c>
      <c r="CJ23" s="81"/>
      <c r="CK23" s="81" t="str">
        <f>IF(OR(ISBLANK(AJ8),ISBLANK(AJ9),ISBLANK(AJ10)),"N/A",IF((CK21=CK22),"ok","&lt;&gt;"))</f>
        <v>N/A</v>
      </c>
      <c r="CL23" s="81"/>
      <c r="CM23" s="81" t="str">
        <f>IF(OR(ISBLANK(AL8),ISBLANK(AL9),ISBLANK(AL10)),"N/A",IF((CM21=CM22),"ok","&lt;&gt;"))</f>
        <v>N/A</v>
      </c>
      <c r="CN23" s="81"/>
      <c r="CO23" s="81" t="str">
        <f>IF(OR(ISBLANK(AN8),ISBLANK(AN9),ISBLANK(AN10)),"N/A",IF((CO21=CO22),"ok","&lt;&gt;"))</f>
        <v>N/A</v>
      </c>
      <c r="CP23" s="81"/>
      <c r="CQ23" s="81" t="str">
        <f>IF(OR(ISBLANK(AP8),ISBLANK(AP9),ISBLANK(AP10)),"N/A",IF((CQ21=CQ22),"ok","&lt;&gt;"))</f>
        <v>N/A</v>
      </c>
      <c r="CR23" s="81"/>
      <c r="CS23" s="81" t="str">
        <f>IF(OR(ISBLANK(AR8),ISBLANK(AR9),ISBLANK(AR10)),"N/A",IF((CS21=CS22),"ok","&lt;&gt;"))</f>
        <v>N/A</v>
      </c>
      <c r="CT23" s="81"/>
      <c r="CU23" s="81" t="str">
        <f>IF(OR(ISBLANK(AT8),ISBLANK(AT9),ISBLANK(AT10)),"N/A",IF((CU21=CU22),"ok","&lt;&gt;"))</f>
        <v>N/A</v>
      </c>
      <c r="CV23" s="270"/>
      <c r="CW23" s="81" t="str">
        <f>IF(OR(ISBLANK(AV8),ISBLANK(AV9),ISBLANK(AV10)),"N/A",IF((CW21=CW22),"ok","&lt;&gt;"))</f>
        <v>N/A</v>
      </c>
      <c r="CX23" s="81"/>
      <c r="CY23" s="81" t="str">
        <f>IF(OR(ISBLANK(AX8),ISBLANK(AX9),ISBLANK(AX10)),"N/A",IF((CY21=CY22),"ok","&lt;&gt;"))</f>
        <v>N/A</v>
      </c>
      <c r="CZ23" s="270"/>
      <c r="DA23" s="81" t="str">
        <f>IF(OR(ISBLANK(AZ8),ISBLANK(AZ9),ISBLANK(AZ10)),"N/A",IF((DA21=DA22),"ok","&lt;&gt;"))</f>
        <v>N/A</v>
      </c>
      <c r="DB23" s="81"/>
      <c r="DC23" s="81" t="str">
        <f>IF(OR(ISBLANK(BB8),ISBLANK(BB9),ISBLANK(BB10)),"N/A",IF((DC21=DC22),"ok","&lt;&gt;"))</f>
        <v>N/A</v>
      </c>
      <c r="DD23" s="305"/>
      <c r="DE23" s="255">
        <v>60</v>
      </c>
      <c r="DF23" s="628" t="s">
        <v>232</v>
      </c>
      <c r="DG23" s="255"/>
      <c r="DH23" s="255"/>
      <c r="DI23" s="255"/>
      <c r="DJ23" s="255"/>
      <c r="DK23" s="305"/>
      <c r="DL23" s="305"/>
      <c r="DM23" s="305"/>
    </row>
    <row r="24" spans="1:117" ht="22.5" customHeight="1" x14ac:dyDescent="0.2">
      <c r="A24" s="302"/>
      <c r="B24" s="302"/>
      <c r="C24" s="300" t="s">
        <v>484</v>
      </c>
      <c r="D24" s="771" t="s">
        <v>121</v>
      </c>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1"/>
      <c r="AS24" s="771"/>
      <c r="AT24" s="771"/>
      <c r="AU24" s="771"/>
      <c r="AV24" s="771"/>
      <c r="AW24" s="771"/>
      <c r="AX24" s="771"/>
      <c r="AY24" s="771"/>
      <c r="AZ24" s="771"/>
      <c r="BA24" s="771"/>
      <c r="BB24" s="771"/>
      <c r="BC24" s="771"/>
      <c r="BD24" s="771"/>
      <c r="BE24" s="309"/>
      <c r="BF24" s="98">
        <v>5</v>
      </c>
      <c r="BG24" s="278" t="s">
        <v>417</v>
      </c>
      <c r="BH24" s="81" t="s">
        <v>462</v>
      </c>
      <c r="BI24" s="81">
        <f>F12</f>
        <v>0</v>
      </c>
      <c r="BJ24" s="81">
        <f>H12</f>
        <v>0</v>
      </c>
      <c r="BK24" s="81">
        <f>P12</f>
        <v>0</v>
      </c>
      <c r="BL24" s="81"/>
      <c r="BM24" s="81">
        <f>L12</f>
        <v>0</v>
      </c>
      <c r="BN24" s="81"/>
      <c r="BO24" s="81">
        <f>Q12</f>
        <v>0</v>
      </c>
      <c r="BP24" s="81"/>
      <c r="BQ24" s="81">
        <f>S12</f>
        <v>0</v>
      </c>
      <c r="BR24" s="81"/>
      <c r="BS24" s="81">
        <f>R12</f>
        <v>0</v>
      </c>
      <c r="BT24" s="81"/>
      <c r="BU24" s="81">
        <f>T12</f>
        <v>0</v>
      </c>
      <c r="BV24" s="81"/>
      <c r="BW24" s="81">
        <f>V12</f>
        <v>0</v>
      </c>
      <c r="BX24" s="81"/>
      <c r="BY24" s="81">
        <f>X12</f>
        <v>0</v>
      </c>
      <c r="BZ24" s="81"/>
      <c r="CA24" s="81">
        <f>Z12</f>
        <v>0</v>
      </c>
      <c r="CB24" s="81"/>
      <c r="CC24" s="81">
        <f>AB12</f>
        <v>0</v>
      </c>
      <c r="CD24" s="81"/>
      <c r="CE24" s="81">
        <f>AD12</f>
        <v>0</v>
      </c>
      <c r="CF24" s="81"/>
      <c r="CG24" s="81">
        <f>AF12</f>
        <v>0</v>
      </c>
      <c r="CH24" s="81"/>
      <c r="CI24" s="81">
        <f>AH12</f>
        <v>0</v>
      </c>
      <c r="CJ24" s="81"/>
      <c r="CK24" s="81">
        <f>AJ12</f>
        <v>0</v>
      </c>
      <c r="CL24" s="81"/>
      <c r="CM24" s="81">
        <f>AL12</f>
        <v>0</v>
      </c>
      <c r="CN24" s="81"/>
      <c r="CO24" s="81">
        <f>AN12</f>
        <v>0</v>
      </c>
      <c r="CP24" s="81"/>
      <c r="CQ24" s="81">
        <f>AP12</f>
        <v>0</v>
      </c>
      <c r="CR24" s="81"/>
      <c r="CS24" s="81">
        <f>AR12</f>
        <v>0</v>
      </c>
      <c r="CT24" s="81"/>
      <c r="CU24" s="81">
        <f>AT12</f>
        <v>0</v>
      </c>
      <c r="CV24" s="310"/>
      <c r="CW24" s="81">
        <f>AV12</f>
        <v>0</v>
      </c>
      <c r="CX24" s="81"/>
      <c r="CY24" s="81">
        <f>AX12</f>
        <v>0</v>
      </c>
      <c r="CZ24" s="310"/>
      <c r="DA24" s="81">
        <f>AZ12</f>
        <v>0</v>
      </c>
      <c r="DB24" s="81"/>
      <c r="DC24" s="81">
        <f>BB12</f>
        <v>0</v>
      </c>
      <c r="DD24" s="305"/>
      <c r="DE24" s="255">
        <v>64</v>
      </c>
      <c r="DF24" s="628" t="s">
        <v>233</v>
      </c>
      <c r="DG24" s="255">
        <v>84460</v>
      </c>
      <c r="DH24" s="255">
        <v>78000</v>
      </c>
      <c r="DI24" s="255">
        <v>0</v>
      </c>
      <c r="DJ24" s="255">
        <v>78000</v>
      </c>
      <c r="DK24" s="305"/>
      <c r="DL24" s="305"/>
      <c r="DM24" s="305"/>
    </row>
    <row r="25" spans="1:117" ht="11.45" customHeight="1" x14ac:dyDescent="0.2">
      <c r="A25" s="302"/>
      <c r="B25" s="302"/>
      <c r="C25" s="300"/>
      <c r="D25" s="78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5"/>
      <c r="AY25" s="775"/>
      <c r="AZ25" s="775"/>
      <c r="BA25" s="775"/>
      <c r="BB25" s="775"/>
      <c r="BC25" s="775"/>
      <c r="BD25" s="775"/>
      <c r="BE25" s="307"/>
      <c r="BF25" s="303">
        <v>11</v>
      </c>
      <c r="BG25" s="304" t="s">
        <v>434</v>
      </c>
      <c r="BH25" s="81" t="s">
        <v>462</v>
      </c>
      <c r="BI25" s="81">
        <f>F10+F11</f>
        <v>0</v>
      </c>
      <c r="BJ25" s="81">
        <f>H10+H11</f>
        <v>0</v>
      </c>
      <c r="BK25" s="81">
        <f>P10+P11</f>
        <v>0</v>
      </c>
      <c r="BL25" s="81"/>
      <c r="BM25" s="81">
        <f>L10+L11</f>
        <v>0</v>
      </c>
      <c r="BN25" s="81"/>
      <c r="BO25" s="81">
        <f>Q10+Q11</f>
        <v>0</v>
      </c>
      <c r="BP25" s="81"/>
      <c r="BQ25" s="81">
        <f>S10+S11</f>
        <v>0</v>
      </c>
      <c r="BR25" s="81"/>
      <c r="BS25" s="81">
        <f>R10+R11</f>
        <v>0</v>
      </c>
      <c r="BT25" s="81"/>
      <c r="BU25" s="81">
        <f>T10+T11</f>
        <v>0</v>
      </c>
      <c r="BV25" s="81"/>
      <c r="BW25" s="81">
        <f>V10+V11</f>
        <v>0</v>
      </c>
      <c r="BX25" s="81"/>
      <c r="BY25" s="81">
        <f>X10+X11</f>
        <v>0</v>
      </c>
      <c r="BZ25" s="82"/>
      <c r="CA25" s="81">
        <f>Z10+Z11</f>
        <v>0</v>
      </c>
      <c r="CB25" s="81"/>
      <c r="CC25" s="81">
        <f>AB10+AB11</f>
        <v>0</v>
      </c>
      <c r="CD25" s="81"/>
      <c r="CE25" s="81">
        <f>AD10+AD11</f>
        <v>0</v>
      </c>
      <c r="CF25" s="81"/>
      <c r="CG25" s="81">
        <f>AF10+AF11</f>
        <v>0</v>
      </c>
      <c r="CH25" s="81"/>
      <c r="CI25" s="81">
        <f>AH10+AH11</f>
        <v>0</v>
      </c>
      <c r="CJ25" s="81"/>
      <c r="CK25" s="81">
        <f>AJ10+AJ11</f>
        <v>0</v>
      </c>
      <c r="CL25" s="81"/>
      <c r="CM25" s="81">
        <f>AL10+AL11</f>
        <v>0</v>
      </c>
      <c r="CN25" s="81"/>
      <c r="CO25" s="81">
        <f>AN10+AN11</f>
        <v>0</v>
      </c>
      <c r="CP25" s="81"/>
      <c r="CQ25" s="81">
        <f>AP10+AP11</f>
        <v>0</v>
      </c>
      <c r="CR25" s="81"/>
      <c r="CS25" s="81">
        <f>AR10+AR11</f>
        <v>0</v>
      </c>
      <c r="CT25" s="81"/>
      <c r="CU25" s="81">
        <f>AT10+AT11</f>
        <v>0</v>
      </c>
      <c r="CV25" s="81"/>
      <c r="CW25" s="81">
        <f>AV10+AV11</f>
        <v>4.7824648702533503</v>
      </c>
      <c r="CX25" s="81"/>
      <c r="CY25" s="81">
        <f>AX10+AX11</f>
        <v>3.9387918145690577</v>
      </c>
      <c r="CZ25" s="81"/>
      <c r="DA25" s="81">
        <f>AZ10+AZ11</f>
        <v>9.548855347368848</v>
      </c>
      <c r="DB25" s="81"/>
      <c r="DC25" s="81">
        <f>BB10+BB11</f>
        <v>0</v>
      </c>
      <c r="DD25" s="305"/>
      <c r="DE25" s="255">
        <v>68</v>
      </c>
      <c r="DF25" s="628" t="s">
        <v>96</v>
      </c>
      <c r="DG25" s="255">
        <v>1259000</v>
      </c>
      <c r="DH25" s="255">
        <v>303500</v>
      </c>
      <c r="DI25" s="255">
        <v>259000</v>
      </c>
      <c r="DJ25" s="255">
        <v>574000</v>
      </c>
      <c r="DK25" s="305"/>
      <c r="DL25" s="305"/>
      <c r="DM25" s="305"/>
    </row>
    <row r="26" spans="1:117" ht="28.15" customHeight="1" x14ac:dyDescent="0.2">
      <c r="A26" s="302"/>
      <c r="B26" s="302"/>
      <c r="C26" s="300"/>
      <c r="D26" s="311"/>
      <c r="E26" s="311"/>
      <c r="F26" s="776" t="str">
        <f>D8&amp;" (W1, 1)"</f>
        <v>Precipitación                              (W1, 1)</v>
      </c>
      <c r="G26" s="777"/>
      <c r="H26" s="777"/>
      <c r="I26" s="778"/>
      <c r="J26" s="314"/>
      <c r="K26" s="314"/>
      <c r="L26" s="314"/>
      <c r="M26" s="776" t="str">
        <f>D9&amp;
"(W1, 2)"</f>
        <v>Evapotranspiración real(W1, 2)</v>
      </c>
      <c r="N26" s="783"/>
      <c r="O26" s="783"/>
      <c r="P26" s="783"/>
      <c r="Q26" s="784"/>
      <c r="R26" s="312"/>
      <c r="S26" s="314"/>
      <c r="T26" s="314"/>
      <c r="U26" s="314"/>
      <c r="V26" s="314"/>
      <c r="W26" s="314"/>
      <c r="X26" s="314"/>
      <c r="Y26" s="314"/>
      <c r="Z26" s="314"/>
      <c r="AA26" s="313"/>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07"/>
      <c r="BF26" s="308" t="s">
        <v>139</v>
      </c>
      <c r="BG26" s="304" t="s">
        <v>175</v>
      </c>
      <c r="BH26" s="81"/>
      <c r="BI26" s="81" t="str">
        <f>IF(OR(ISBLANK(F10),ISBLANK(F11)),"N/A",IF((BI24=BI25),"ok","&lt;&gt;"))</f>
        <v>N/A</v>
      </c>
      <c r="BJ26" s="81" t="str">
        <f>IF(OR(ISBLANK(H10),ISBLANK(H11)),"N/A",IF((BJ24=BJ25),"ok","&lt;&gt;"))</f>
        <v>N/A</v>
      </c>
      <c r="BK26" s="81" t="str">
        <f>IF(OR(ISBLANK(P10),ISBLANK(P11)),"N/A",IF((BK24=BK25),"ok","&lt;&gt;"))</f>
        <v>N/A</v>
      </c>
      <c r="BL26" s="81"/>
      <c r="BM26" s="81" t="str">
        <f>IF(OR(ISBLANK(L10),ISBLANK(L11)),"N/A",IF((BM24=BM25),"ok","&lt;&gt;"))</f>
        <v>N/A</v>
      </c>
      <c r="BN26" s="81"/>
      <c r="BO26" s="81" t="str">
        <f>IF(OR(ISBLANK(Q10),ISBLANK(Q11)),"N/A",IF((BO24=BO25),"ok","&lt;&gt;"))</f>
        <v>N/A</v>
      </c>
      <c r="BP26" s="81"/>
      <c r="BQ26" s="81" t="str">
        <f>IF(OR(ISBLANK(S10),ISBLANK(S11)),"N/A",IF((BQ24=BQ25),"ok","&lt;&gt;"))</f>
        <v>N/A</v>
      </c>
      <c r="BR26" s="81"/>
      <c r="BS26" s="81" t="str">
        <f>IF(OR(ISBLANK(R10),ISBLANK(R11)),"N/A",IF((BS24=BS25),"ok","&lt;&gt;"))</f>
        <v>N/A</v>
      </c>
      <c r="BT26" s="81"/>
      <c r="BU26" s="81" t="str">
        <f>IF(OR(ISBLANK(T10),ISBLANK(T11)),"N/A",IF((BU24=BU25),"ok","&lt;&gt;"))</f>
        <v>N/A</v>
      </c>
      <c r="BV26" s="81"/>
      <c r="BW26" s="81" t="str">
        <f>IF(OR(ISBLANK(V10),ISBLANK(V11)),"N/A",IF((BW24=BW25),"ok","&lt;&gt;"))</f>
        <v>N/A</v>
      </c>
      <c r="BX26" s="81"/>
      <c r="BY26" s="81" t="str">
        <f>IF(OR(ISBLANK(X10),ISBLANK(X11)),"N/A",IF((BY24=BY25),"ok","&lt;&gt;"))</f>
        <v>N/A</v>
      </c>
      <c r="BZ26" s="81"/>
      <c r="CA26" s="81" t="str">
        <f>IF(OR(ISBLANK(Z10),ISBLANK(Z11)),"N/A",IF((CA24=CA25),"ok","&lt;&gt;"))</f>
        <v>N/A</v>
      </c>
      <c r="CB26" s="81"/>
      <c r="CC26" s="81" t="str">
        <f>IF(OR(ISBLANK(AB10),ISBLANK(AB11)),"N/A",IF((CC24=CC25),"ok","&lt;&gt;"))</f>
        <v>N/A</v>
      </c>
      <c r="CD26" s="81"/>
      <c r="CE26" s="81" t="str">
        <f>IF(OR(ISBLANK(AD10),ISBLANK(AD11)),"N/A",IF((CE24=CE25),"ok","&lt;&gt;"))</f>
        <v>N/A</v>
      </c>
      <c r="CF26" s="81"/>
      <c r="CG26" s="81" t="str">
        <f>IF(OR(ISBLANK(AF10),ISBLANK(AF11)),"N/A",IF((CG24=CG25),"ok","&lt;&gt;"))</f>
        <v>N/A</v>
      </c>
      <c r="CH26" s="81"/>
      <c r="CI26" s="81" t="str">
        <f>IF(OR(ISBLANK(AH10),ISBLANK(AH11)),"N/A",IF((CI24=CI25),"ok","&lt;&gt;"))</f>
        <v>N/A</v>
      </c>
      <c r="CJ26" s="81"/>
      <c r="CK26" s="81" t="str">
        <f>IF(OR(ISBLANK(AJ10),ISBLANK(AJ11)),"N/A",IF((CK24=CK25),"ok","&lt;&gt;"))</f>
        <v>N/A</v>
      </c>
      <c r="CL26" s="81"/>
      <c r="CM26" s="81" t="str">
        <f>IF(OR(ISBLANK(AL10),ISBLANK(AL11)),"N/A",IF((CM24=CM25),"ok","&lt;&gt;"))</f>
        <v>N/A</v>
      </c>
      <c r="CN26" s="81"/>
      <c r="CO26" s="81" t="str">
        <f>IF(OR(ISBLANK(AN10),ISBLANK(AN11)),"N/A",IF((CO24=CO25),"ok","&lt;&gt;"))</f>
        <v>N/A</v>
      </c>
      <c r="CP26" s="81"/>
      <c r="CQ26" s="81" t="str">
        <f>IF(OR(ISBLANK(AP10),ISBLANK(AP11)),"N/A",IF((CQ24=CQ25),"ok","&lt;&gt;"))</f>
        <v>N/A</v>
      </c>
      <c r="CR26" s="81"/>
      <c r="CS26" s="81" t="str">
        <f>IF(OR(ISBLANK(AR10),ISBLANK(AR11)),"N/A",IF((CS24=CS25),"ok","&lt;&gt;"))</f>
        <v>N/A</v>
      </c>
      <c r="CT26" s="81"/>
      <c r="CU26" s="81" t="str">
        <f>IF(OR(ISBLANK(AT10),ISBLANK(AT11)),"N/A",IF((CU24=CU25),"ok","&lt;&gt;"))</f>
        <v>N/A</v>
      </c>
      <c r="CV26" s="81"/>
      <c r="CW26" s="81" t="str">
        <f>IF(OR(ISBLANK(AV10),ISBLANK(AV11)),"N/A",IF((CW24=CW25),"ok","&lt;&gt;"))</f>
        <v>N/A</v>
      </c>
      <c r="CX26" s="81"/>
      <c r="CY26" s="81" t="str">
        <f>IF(OR(ISBLANK(AX10),ISBLANK(AX11)),"N/A",IF((CY24=CY25),"ok","&lt;&gt;"))</f>
        <v>N/A</v>
      </c>
      <c r="CZ26" s="81"/>
      <c r="DA26" s="81" t="str">
        <f>IF(OR(ISBLANK(AZ10),ISBLANK(AZ11)),"N/A",IF((DA24=DA25),"ok","&lt;&gt;"))</f>
        <v>N/A</v>
      </c>
      <c r="DB26" s="81"/>
      <c r="DC26" s="81" t="str">
        <f>IF(OR(ISBLANK(BB10),ISBLANK(BB11)),"N/A",IF((DC24=DC25),"ok","&lt;&gt;"))</f>
        <v>N/A</v>
      </c>
      <c r="DD26" s="305"/>
      <c r="DE26" s="255">
        <v>70</v>
      </c>
      <c r="DF26" s="628" t="s">
        <v>234</v>
      </c>
      <c r="DG26" s="255">
        <v>52640</v>
      </c>
      <c r="DH26" s="255">
        <v>35500</v>
      </c>
      <c r="DI26" s="255">
        <v>2000</v>
      </c>
      <c r="DJ26" s="255">
        <v>37500</v>
      </c>
      <c r="DK26" s="305"/>
      <c r="DL26" s="305"/>
      <c r="DM26" s="305"/>
    </row>
    <row r="27" spans="1:117" ht="22.5" customHeight="1" x14ac:dyDescent="0.2">
      <c r="A27" s="302"/>
      <c r="B27" s="302"/>
      <c r="F27" s="316"/>
      <c r="G27" s="316"/>
      <c r="H27" s="314"/>
      <c r="I27" s="314"/>
      <c r="J27" s="314"/>
      <c r="K27" s="314"/>
      <c r="L27" s="314"/>
      <c r="M27" s="314"/>
      <c r="N27" s="314"/>
      <c r="O27" s="314"/>
      <c r="P27" s="314"/>
      <c r="Q27" s="314"/>
      <c r="R27" s="314"/>
      <c r="S27" s="314"/>
      <c r="T27" s="314"/>
      <c r="U27" s="314"/>
      <c r="V27" s="314"/>
      <c r="W27" s="314"/>
      <c r="X27" s="314"/>
      <c r="Y27" s="314"/>
      <c r="Z27" s="314"/>
      <c r="AA27" s="314"/>
      <c r="AB27" s="312"/>
      <c r="AC27" s="312"/>
      <c r="AD27" s="312"/>
      <c r="AE27" s="312"/>
      <c r="AF27" s="316"/>
      <c r="AG27" s="316"/>
      <c r="AH27" s="316"/>
      <c r="AI27" s="316"/>
      <c r="AJ27" s="312"/>
      <c r="AK27" s="622"/>
      <c r="AL27" s="622"/>
      <c r="AM27" s="622"/>
      <c r="AN27" s="622"/>
      <c r="AO27" s="316"/>
      <c r="AP27" s="316"/>
      <c r="AQ27" s="316"/>
      <c r="AR27" s="316"/>
      <c r="AS27" s="316"/>
      <c r="AT27" s="316"/>
      <c r="AU27" s="316"/>
      <c r="AV27" s="316"/>
      <c r="AW27" s="316"/>
      <c r="AX27" s="316"/>
      <c r="AY27" s="316"/>
      <c r="AZ27" s="316"/>
      <c r="BA27" s="316"/>
      <c r="BB27" s="316"/>
      <c r="BC27" s="316"/>
      <c r="BD27" s="311"/>
      <c r="BE27" s="307"/>
      <c r="BF27" s="98">
        <v>1</v>
      </c>
      <c r="BG27" s="315" t="s">
        <v>461</v>
      </c>
      <c r="BH27" s="98" t="s">
        <v>462</v>
      </c>
      <c r="BI27" s="81">
        <f>F8</f>
        <v>0</v>
      </c>
      <c r="BJ27" s="82" t="s">
        <v>466</v>
      </c>
      <c r="BK27" s="81" t="s">
        <v>466</v>
      </c>
      <c r="BL27" s="82"/>
      <c r="BM27" s="81" t="s">
        <v>466</v>
      </c>
      <c r="BN27" s="82"/>
      <c r="BO27" s="81" t="s">
        <v>466</v>
      </c>
      <c r="BP27" s="82"/>
      <c r="BQ27" s="81" t="s">
        <v>466</v>
      </c>
      <c r="BR27" s="82"/>
      <c r="BS27" s="81" t="s">
        <v>466</v>
      </c>
      <c r="BT27" s="82"/>
      <c r="BU27" s="81" t="s">
        <v>466</v>
      </c>
      <c r="BV27" s="82"/>
      <c r="BW27" s="81" t="s">
        <v>466</v>
      </c>
      <c r="BX27" s="82"/>
      <c r="BY27" s="81" t="s">
        <v>466</v>
      </c>
      <c r="BZ27" s="82"/>
      <c r="CA27" s="81" t="s">
        <v>466</v>
      </c>
      <c r="CB27" s="82"/>
      <c r="CC27" s="81" t="s">
        <v>466</v>
      </c>
      <c r="CD27" s="82"/>
      <c r="CE27" s="81" t="s">
        <v>466</v>
      </c>
      <c r="CF27" s="82"/>
      <c r="CG27" s="81" t="s">
        <v>466</v>
      </c>
      <c r="CH27" s="81"/>
      <c r="CI27" s="81" t="s">
        <v>466</v>
      </c>
      <c r="CJ27" s="82"/>
      <c r="CK27" s="81" t="s">
        <v>466</v>
      </c>
      <c r="CL27" s="82"/>
      <c r="CM27" s="81" t="s">
        <v>466</v>
      </c>
      <c r="CN27" s="82"/>
      <c r="CO27" s="81" t="s">
        <v>466</v>
      </c>
      <c r="CP27" s="82"/>
      <c r="CQ27" s="81" t="s">
        <v>466</v>
      </c>
      <c r="CR27" s="310"/>
      <c r="CS27" s="81" t="s">
        <v>466</v>
      </c>
      <c r="CT27" s="310"/>
      <c r="CU27" s="81" t="s">
        <v>466</v>
      </c>
      <c r="CV27" s="310"/>
      <c r="CW27" s="81" t="s">
        <v>466</v>
      </c>
      <c r="CX27" s="310"/>
      <c r="CY27" s="81" t="s">
        <v>466</v>
      </c>
      <c r="CZ27" s="310"/>
      <c r="DA27" s="81" t="s">
        <v>466</v>
      </c>
      <c r="DB27" s="310"/>
      <c r="DC27" s="81" t="s">
        <v>466</v>
      </c>
      <c r="DD27" s="305"/>
      <c r="DE27" s="255">
        <v>72</v>
      </c>
      <c r="DF27" s="628" t="s">
        <v>235</v>
      </c>
      <c r="DG27" s="255">
        <v>242000</v>
      </c>
      <c r="DH27" s="255">
        <v>2400</v>
      </c>
      <c r="DI27" s="255">
        <v>9040</v>
      </c>
      <c r="DJ27" s="255">
        <v>12240</v>
      </c>
      <c r="DK27" s="305"/>
      <c r="DL27" s="305"/>
      <c r="DM27" s="305"/>
    </row>
    <row r="28" spans="1:117" ht="14.25" customHeight="1" x14ac:dyDescent="0.2">
      <c r="A28" s="302"/>
      <c r="B28" s="302"/>
      <c r="C28" s="300"/>
      <c r="D28" s="311"/>
      <c r="E28" s="311"/>
      <c r="F28" s="317"/>
      <c r="G28" s="312"/>
      <c r="H28" s="776" t="str">
        <f>LEFT(D10,LEN(D10)-7)&amp;" (W1, 3)"</f>
        <v>Flujo interno (W1, 3)</v>
      </c>
      <c r="I28" s="786"/>
      <c r="J28" s="786"/>
      <c r="K28" s="786"/>
      <c r="L28" s="786"/>
      <c r="M28" s="786"/>
      <c r="N28" s="786"/>
      <c r="O28" s="787"/>
      <c r="P28" s="313"/>
      <c r="Q28" s="313"/>
      <c r="R28" s="313"/>
      <c r="S28" s="313"/>
      <c r="T28" s="313"/>
      <c r="U28" s="313"/>
      <c r="V28" s="313"/>
      <c r="W28" s="313"/>
      <c r="X28" s="313"/>
      <c r="Y28" s="313"/>
      <c r="Z28" s="313"/>
      <c r="AA28" s="313"/>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1"/>
      <c r="BE28" s="307"/>
      <c r="BF28" s="303">
        <v>12</v>
      </c>
      <c r="BG28" s="304" t="s">
        <v>443</v>
      </c>
      <c r="BH28" s="81" t="s">
        <v>462</v>
      </c>
      <c r="BI28" s="81">
        <f>VLOOKUP(B3,DE7:DJ183,3,FALSE)</f>
        <v>3699000</v>
      </c>
      <c r="BJ28" s="81" t="s">
        <v>466</v>
      </c>
      <c r="BK28" s="81" t="s">
        <v>466</v>
      </c>
      <c r="BL28" s="81"/>
      <c r="BM28" s="81" t="s">
        <v>466</v>
      </c>
      <c r="BN28" s="82"/>
      <c r="BO28" s="81" t="s">
        <v>466</v>
      </c>
      <c r="BP28" s="82"/>
      <c r="BQ28" s="81" t="s">
        <v>466</v>
      </c>
      <c r="BR28" s="82"/>
      <c r="BS28" s="81" t="s">
        <v>466</v>
      </c>
      <c r="BT28" s="82"/>
      <c r="BU28" s="81" t="s">
        <v>466</v>
      </c>
      <c r="BV28" s="82"/>
      <c r="BW28" s="81" t="s">
        <v>466</v>
      </c>
      <c r="BX28" s="82"/>
      <c r="BY28" s="81" t="s">
        <v>466</v>
      </c>
      <c r="BZ28" s="82"/>
      <c r="CA28" s="81" t="s">
        <v>466</v>
      </c>
      <c r="CB28" s="82"/>
      <c r="CC28" s="81" t="s">
        <v>466</v>
      </c>
      <c r="CD28" s="82"/>
      <c r="CE28" s="81" t="s">
        <v>466</v>
      </c>
      <c r="CF28" s="82"/>
      <c r="CG28" s="81" t="s">
        <v>466</v>
      </c>
      <c r="CH28" s="81"/>
      <c r="CI28" s="81" t="s">
        <v>466</v>
      </c>
      <c r="CJ28" s="82"/>
      <c r="CK28" s="81" t="s">
        <v>466</v>
      </c>
      <c r="CL28" s="82"/>
      <c r="CM28" s="81" t="s">
        <v>466</v>
      </c>
      <c r="CN28" s="82"/>
      <c r="CO28" s="81" t="s">
        <v>466</v>
      </c>
      <c r="CP28" s="82"/>
      <c r="CQ28" s="81" t="s">
        <v>466</v>
      </c>
      <c r="CR28" s="310"/>
      <c r="CS28" s="81" t="s">
        <v>466</v>
      </c>
      <c r="CT28" s="310"/>
      <c r="CU28" s="81" t="s">
        <v>466</v>
      </c>
      <c r="CV28" s="310"/>
      <c r="CW28" s="81" t="s">
        <v>466</v>
      </c>
      <c r="CX28" s="310"/>
      <c r="CY28" s="81" t="s">
        <v>466</v>
      </c>
      <c r="CZ28" s="310"/>
      <c r="DA28" s="81" t="s">
        <v>466</v>
      </c>
      <c r="DB28" s="310"/>
      <c r="DC28" s="81" t="s">
        <v>466</v>
      </c>
      <c r="DD28" s="305"/>
      <c r="DE28" s="255">
        <v>76</v>
      </c>
      <c r="DF28" s="628" t="s">
        <v>236</v>
      </c>
      <c r="DG28" s="255">
        <v>14995000</v>
      </c>
      <c r="DH28" s="255">
        <v>5661000</v>
      </c>
      <c r="DI28" s="255">
        <v>2986000</v>
      </c>
      <c r="DJ28" s="255">
        <v>8647000</v>
      </c>
      <c r="DK28" s="305"/>
      <c r="DL28" s="305"/>
      <c r="DM28" s="305"/>
    </row>
    <row r="29" spans="1:117" ht="33.75" customHeight="1" x14ac:dyDescent="0.2">
      <c r="A29" s="302"/>
      <c r="B29" s="302"/>
      <c r="C29" s="300"/>
      <c r="D29" s="311"/>
      <c r="F29" s="316"/>
      <c r="G29" s="316"/>
      <c r="H29" s="314"/>
      <c r="I29" s="314"/>
      <c r="J29" s="314"/>
      <c r="K29" s="314"/>
      <c r="L29" s="314"/>
      <c r="M29" s="314"/>
      <c r="N29" s="314"/>
      <c r="O29" s="314"/>
      <c r="P29" s="314"/>
      <c r="Q29" s="314"/>
      <c r="R29" s="314"/>
      <c r="S29" s="314"/>
      <c r="T29" s="314"/>
      <c r="U29" s="314"/>
      <c r="V29" s="776" t="str">
        <f>D13&amp; " (W1, 6)"</f>
        <v>Caudal de salida de aguas superficiales y subterráneas hacia países vecinos (W1, 6)</v>
      </c>
      <c r="W29" s="777"/>
      <c r="X29" s="777"/>
      <c r="Y29" s="777"/>
      <c r="Z29" s="777"/>
      <c r="AA29" s="778"/>
      <c r="AB29" s="312"/>
      <c r="AC29" s="316"/>
      <c r="AD29" s="312"/>
      <c r="AE29" s="324"/>
      <c r="AF29" s="324"/>
      <c r="AG29" s="324"/>
      <c r="AH29" s="324"/>
      <c r="AI29" s="324"/>
      <c r="AJ29" s="324"/>
      <c r="AK29" s="324"/>
      <c r="AL29" s="324"/>
      <c r="AM29" s="316"/>
      <c r="AN29" s="316"/>
      <c r="AO29" s="316"/>
      <c r="AP29" s="316"/>
      <c r="AQ29" s="316"/>
      <c r="AR29" s="316"/>
      <c r="AS29" s="316"/>
      <c r="AT29" s="225"/>
      <c r="AU29" s="621"/>
      <c r="AV29" s="621"/>
      <c r="AW29" s="621"/>
      <c r="AX29" s="225"/>
      <c r="AY29" s="621"/>
      <c r="AZ29" s="621"/>
      <c r="BA29" s="621"/>
      <c r="BB29" s="621"/>
      <c r="BC29" s="621"/>
      <c r="BD29" s="311"/>
      <c r="BE29" s="307"/>
      <c r="BF29" s="308" t="s">
        <v>139</v>
      </c>
      <c r="BG29" s="318" t="s">
        <v>176</v>
      </c>
      <c r="BH29" s="81" t="s">
        <v>462</v>
      </c>
      <c r="BI29" s="81">
        <f>ABS(BI27-BI28)</f>
        <v>3699000</v>
      </c>
      <c r="BJ29" s="82" t="s">
        <v>466</v>
      </c>
      <c r="BK29" s="81" t="s">
        <v>466</v>
      </c>
      <c r="BL29" s="82"/>
      <c r="BM29" s="81" t="s">
        <v>466</v>
      </c>
      <c r="BN29" s="82"/>
      <c r="BO29" s="81" t="s">
        <v>466</v>
      </c>
      <c r="BP29" s="82"/>
      <c r="BQ29" s="81" t="s">
        <v>466</v>
      </c>
      <c r="BR29" s="82"/>
      <c r="BS29" s="81" t="s">
        <v>466</v>
      </c>
      <c r="BT29" s="82"/>
      <c r="BU29" s="81" t="s">
        <v>466</v>
      </c>
      <c r="BV29" s="82"/>
      <c r="BW29" s="81" t="s">
        <v>466</v>
      </c>
      <c r="BX29" s="82"/>
      <c r="BY29" s="81" t="s">
        <v>466</v>
      </c>
      <c r="BZ29" s="82"/>
      <c r="CA29" s="81" t="s">
        <v>466</v>
      </c>
      <c r="CB29" s="82"/>
      <c r="CC29" s="81" t="s">
        <v>466</v>
      </c>
      <c r="CD29" s="82"/>
      <c r="CE29" s="81" t="s">
        <v>466</v>
      </c>
      <c r="CF29" s="82"/>
      <c r="CG29" s="81" t="s">
        <v>466</v>
      </c>
      <c r="CH29" s="81"/>
      <c r="CI29" s="81" t="s">
        <v>466</v>
      </c>
      <c r="CJ29" s="82"/>
      <c r="CK29" s="81" t="s">
        <v>466</v>
      </c>
      <c r="CL29" s="82"/>
      <c r="CM29" s="81" t="s">
        <v>466</v>
      </c>
      <c r="CN29" s="82"/>
      <c r="CO29" s="81" t="s">
        <v>466</v>
      </c>
      <c r="CP29" s="82"/>
      <c r="CQ29" s="81" t="s">
        <v>466</v>
      </c>
      <c r="CR29" s="310"/>
      <c r="CS29" s="81" t="s">
        <v>466</v>
      </c>
      <c r="CT29" s="310"/>
      <c r="CU29" s="81" t="s">
        <v>466</v>
      </c>
      <c r="CV29" s="310"/>
      <c r="CW29" s="81" t="s">
        <v>466</v>
      </c>
      <c r="CX29" s="310"/>
      <c r="CY29" s="81" t="s">
        <v>466</v>
      </c>
      <c r="CZ29" s="310"/>
      <c r="DA29" s="81" t="s">
        <v>466</v>
      </c>
      <c r="DB29" s="310"/>
      <c r="DC29" s="81" t="s">
        <v>466</v>
      </c>
      <c r="DD29" s="305"/>
      <c r="DE29" s="255">
        <v>96</v>
      </c>
      <c r="DF29" s="628" t="s">
        <v>237</v>
      </c>
      <c r="DG29" s="255">
        <v>15710</v>
      </c>
      <c r="DH29" s="255">
        <v>8500</v>
      </c>
      <c r="DI29" s="255">
        <v>0</v>
      </c>
      <c r="DJ29" s="255">
        <v>8500</v>
      </c>
      <c r="DK29" s="305"/>
      <c r="DL29" s="305"/>
      <c r="DM29" s="305"/>
    </row>
    <row r="30" spans="1:117" ht="36" customHeight="1" x14ac:dyDescent="0.2">
      <c r="A30" s="302"/>
      <c r="B30" s="302"/>
      <c r="C30" s="300"/>
      <c r="D30" s="311"/>
      <c r="E30" s="311"/>
      <c r="F30" s="776" t="str">
        <f>D11&amp;" (W1, 4)"</f>
        <v>Caudal de entrada de aguas superficiales y subterráneas desde países vecinos (W1, 4)</v>
      </c>
      <c r="G30" s="779"/>
      <c r="H30" s="779"/>
      <c r="I30" s="780"/>
      <c r="J30" s="314"/>
      <c r="K30" s="314"/>
      <c r="L30" s="314"/>
      <c r="M30" s="776" t="str">
        <f>LEFT(D12,LEN(D12)-7)&amp;" (W1, 5)"</f>
        <v>Recursos renovables de agua dulce (W1, 5)</v>
      </c>
      <c r="N30" s="781"/>
      <c r="O30" s="781"/>
      <c r="P30" s="782"/>
      <c r="Q30" s="314"/>
      <c r="R30" s="314"/>
      <c r="S30" s="314"/>
      <c r="T30" s="314"/>
      <c r="U30" s="314"/>
      <c r="V30" s="314"/>
      <c r="W30" s="314"/>
      <c r="X30" s="314"/>
      <c r="Y30" s="314"/>
      <c r="Z30" s="314"/>
      <c r="AA30" s="314"/>
      <c r="AB30" s="316"/>
      <c r="AC30" s="316"/>
      <c r="AD30" s="316"/>
      <c r="AE30" s="316"/>
      <c r="AF30" s="316"/>
      <c r="AG30" s="316"/>
      <c r="AH30" s="316"/>
      <c r="AI30" s="316"/>
      <c r="AJ30" s="316"/>
      <c r="AK30" s="316"/>
      <c r="AL30" s="316"/>
      <c r="AM30" s="316"/>
      <c r="AN30" s="316"/>
      <c r="AO30" s="316"/>
      <c r="AP30" s="316"/>
      <c r="AQ30" s="316"/>
      <c r="AR30" s="316"/>
      <c r="AS30" s="316"/>
      <c r="AT30" s="312"/>
      <c r="AU30" s="312"/>
      <c r="AV30" s="312"/>
      <c r="AW30" s="312"/>
      <c r="AX30" s="312"/>
      <c r="AY30" s="312"/>
      <c r="AZ30" s="312"/>
      <c r="BA30" s="312"/>
      <c r="BB30" s="312"/>
      <c r="BC30" s="319"/>
      <c r="BD30" s="311"/>
      <c r="BE30" s="307"/>
      <c r="BF30" s="81">
        <v>3</v>
      </c>
      <c r="BG30" s="269" t="s">
        <v>418</v>
      </c>
      <c r="BH30" s="81" t="s">
        <v>462</v>
      </c>
      <c r="BI30" s="81">
        <f>F10</f>
        <v>0</v>
      </c>
      <c r="BJ30" s="82" t="s">
        <v>466</v>
      </c>
      <c r="BK30" s="81" t="s">
        <v>466</v>
      </c>
      <c r="BL30" s="82"/>
      <c r="BM30" s="81" t="s">
        <v>466</v>
      </c>
      <c r="BN30" s="82"/>
      <c r="BO30" s="81" t="s">
        <v>466</v>
      </c>
      <c r="BP30" s="82"/>
      <c r="BQ30" s="81" t="s">
        <v>466</v>
      </c>
      <c r="BR30" s="82"/>
      <c r="BS30" s="81" t="s">
        <v>466</v>
      </c>
      <c r="BT30" s="82"/>
      <c r="BU30" s="81" t="s">
        <v>466</v>
      </c>
      <c r="BV30" s="82"/>
      <c r="BW30" s="81" t="s">
        <v>466</v>
      </c>
      <c r="BX30" s="82"/>
      <c r="BY30" s="81" t="s">
        <v>466</v>
      </c>
      <c r="BZ30" s="82"/>
      <c r="CA30" s="81" t="s">
        <v>466</v>
      </c>
      <c r="CB30" s="82"/>
      <c r="CC30" s="81" t="s">
        <v>466</v>
      </c>
      <c r="CD30" s="82"/>
      <c r="CE30" s="81" t="s">
        <v>466</v>
      </c>
      <c r="CF30" s="82"/>
      <c r="CG30" s="81" t="s">
        <v>466</v>
      </c>
      <c r="CH30" s="81"/>
      <c r="CI30" s="81" t="s">
        <v>466</v>
      </c>
      <c r="CJ30" s="82"/>
      <c r="CK30" s="81" t="s">
        <v>466</v>
      </c>
      <c r="CL30" s="82"/>
      <c r="CM30" s="81" t="s">
        <v>466</v>
      </c>
      <c r="CN30" s="82"/>
      <c r="CO30" s="81" t="s">
        <v>466</v>
      </c>
      <c r="CP30" s="82"/>
      <c r="CQ30" s="81" t="s">
        <v>466</v>
      </c>
      <c r="CR30" s="310"/>
      <c r="CS30" s="81" t="s">
        <v>466</v>
      </c>
      <c r="CT30" s="310"/>
      <c r="CU30" s="81" t="s">
        <v>466</v>
      </c>
      <c r="CV30" s="310"/>
      <c r="CW30" s="81" t="s">
        <v>466</v>
      </c>
      <c r="CX30" s="310"/>
      <c r="CY30" s="81" t="s">
        <v>466</v>
      </c>
      <c r="CZ30" s="310"/>
      <c r="DA30" s="81" t="s">
        <v>466</v>
      </c>
      <c r="DB30" s="310"/>
      <c r="DC30" s="81" t="s">
        <v>466</v>
      </c>
      <c r="DD30" s="305"/>
      <c r="DE30" s="255">
        <v>100</v>
      </c>
      <c r="DF30" s="628" t="s">
        <v>238</v>
      </c>
      <c r="DG30" s="255">
        <v>67490</v>
      </c>
      <c r="DH30" s="255">
        <v>21000</v>
      </c>
      <c r="DI30" s="255">
        <v>300</v>
      </c>
      <c r="DJ30" s="255">
        <v>21300</v>
      </c>
      <c r="DK30" s="305"/>
      <c r="DL30" s="305"/>
      <c r="DM30" s="305"/>
    </row>
    <row r="31" spans="1:117" s="220" customFormat="1" ht="36.6" customHeight="1" x14ac:dyDescent="0.2">
      <c r="A31" s="302"/>
      <c r="B31" s="302"/>
      <c r="C31" s="300"/>
      <c r="D31" s="311"/>
      <c r="E31" s="311"/>
      <c r="F31" s="312"/>
      <c r="G31" s="312"/>
      <c r="H31" s="313"/>
      <c r="I31" s="321"/>
      <c r="J31" s="321"/>
      <c r="K31" s="321"/>
      <c r="L31" s="321"/>
      <c r="M31" s="321"/>
      <c r="N31" s="321"/>
      <c r="O31" s="321"/>
      <c r="P31" s="321"/>
      <c r="Q31" s="321"/>
      <c r="R31" s="321"/>
      <c r="S31" s="321"/>
      <c r="T31" s="321"/>
      <c r="U31" s="321"/>
      <c r="V31" s="776" t="str">
        <f>D16&amp; " (W1, 9)"</f>
        <v>Caudal de salida de aguas superficiales y subterráneas hacia el mar (W1, 9)</v>
      </c>
      <c r="W31" s="777"/>
      <c r="X31" s="777"/>
      <c r="Y31" s="777"/>
      <c r="Z31" s="777"/>
      <c r="AA31" s="778"/>
      <c r="AB31" s="312"/>
      <c r="AC31" s="623"/>
      <c r="AD31" s="623"/>
      <c r="AE31" s="623"/>
      <c r="AF31" s="316"/>
      <c r="AG31" s="316"/>
      <c r="AH31" s="316"/>
      <c r="AI31" s="316"/>
      <c r="AJ31" s="316"/>
      <c r="AK31" s="312"/>
      <c r="AL31" s="319"/>
      <c r="AM31" s="319"/>
      <c r="AN31" s="319"/>
      <c r="AO31" s="316"/>
      <c r="AP31" s="316"/>
      <c r="AQ31" s="316"/>
      <c r="AR31" s="316"/>
      <c r="AS31" s="316"/>
      <c r="AT31" s="312"/>
      <c r="AU31" s="312"/>
      <c r="AV31" s="312"/>
      <c r="AW31" s="312"/>
      <c r="AX31" s="312"/>
      <c r="AY31" s="312"/>
      <c r="AZ31" s="312"/>
      <c r="BA31" s="312"/>
      <c r="BB31" s="312"/>
      <c r="BC31" s="319"/>
      <c r="BD31" s="316"/>
      <c r="BE31" s="307"/>
      <c r="BF31" s="320">
        <v>13</v>
      </c>
      <c r="BG31" s="304" t="s">
        <v>444</v>
      </c>
      <c r="BH31" s="81" t="s">
        <v>462</v>
      </c>
      <c r="BI31" s="81">
        <f>VLOOKUP(B3,DE7:DJ183,4,FALSE)</f>
        <v>2145000</v>
      </c>
      <c r="BJ31" s="82" t="s">
        <v>466</v>
      </c>
      <c r="BK31" s="81" t="s">
        <v>466</v>
      </c>
      <c r="BL31" s="82"/>
      <c r="BM31" s="81" t="s">
        <v>466</v>
      </c>
      <c r="BN31" s="82"/>
      <c r="BO31" s="81" t="s">
        <v>466</v>
      </c>
      <c r="BP31" s="82"/>
      <c r="BQ31" s="81" t="s">
        <v>466</v>
      </c>
      <c r="BR31" s="82"/>
      <c r="BS31" s="81" t="s">
        <v>466</v>
      </c>
      <c r="BT31" s="82"/>
      <c r="BU31" s="81" t="s">
        <v>466</v>
      </c>
      <c r="BV31" s="82"/>
      <c r="BW31" s="81" t="s">
        <v>466</v>
      </c>
      <c r="BX31" s="82"/>
      <c r="BY31" s="81" t="s">
        <v>466</v>
      </c>
      <c r="BZ31" s="82"/>
      <c r="CA31" s="81" t="s">
        <v>466</v>
      </c>
      <c r="CB31" s="82"/>
      <c r="CC31" s="81" t="s">
        <v>466</v>
      </c>
      <c r="CD31" s="82"/>
      <c r="CE31" s="81" t="s">
        <v>466</v>
      </c>
      <c r="CF31" s="82"/>
      <c r="CG31" s="81" t="s">
        <v>466</v>
      </c>
      <c r="CH31" s="81"/>
      <c r="CI31" s="81" t="s">
        <v>466</v>
      </c>
      <c r="CJ31" s="82"/>
      <c r="CK31" s="81" t="s">
        <v>466</v>
      </c>
      <c r="CL31" s="82"/>
      <c r="CM31" s="81" t="s">
        <v>466</v>
      </c>
      <c r="CN31" s="82"/>
      <c r="CO31" s="81" t="s">
        <v>466</v>
      </c>
      <c r="CP31" s="82"/>
      <c r="CQ31" s="81" t="s">
        <v>466</v>
      </c>
      <c r="CR31" s="310"/>
      <c r="CS31" s="81" t="s">
        <v>466</v>
      </c>
      <c r="CT31" s="310"/>
      <c r="CU31" s="81" t="s">
        <v>466</v>
      </c>
      <c r="CV31" s="310"/>
      <c r="CW31" s="81" t="s">
        <v>466</v>
      </c>
      <c r="CX31" s="310"/>
      <c r="CY31" s="81" t="s">
        <v>466</v>
      </c>
      <c r="CZ31" s="310"/>
      <c r="DA31" s="81" t="s">
        <v>466</v>
      </c>
      <c r="DB31" s="310"/>
      <c r="DC31" s="81" t="s">
        <v>466</v>
      </c>
      <c r="DD31" s="227"/>
      <c r="DE31" s="255">
        <v>854</v>
      </c>
      <c r="DF31" s="628" t="s">
        <v>239</v>
      </c>
      <c r="DG31" s="255">
        <v>205100</v>
      </c>
      <c r="DH31" s="255">
        <v>12500</v>
      </c>
      <c r="DI31" s="255">
        <v>1000</v>
      </c>
      <c r="DJ31" s="255">
        <v>13500</v>
      </c>
      <c r="DK31" s="227"/>
      <c r="DL31" s="227"/>
      <c r="DM31" s="227"/>
    </row>
    <row r="32" spans="1:117" s="220" customFormat="1" ht="3.6" customHeight="1" x14ac:dyDescent="0.2">
      <c r="A32" s="302"/>
      <c r="B32" s="302"/>
      <c r="C32" s="300"/>
      <c r="E32" s="317"/>
      <c r="F32" s="312"/>
      <c r="G32" s="312"/>
      <c r="H32" s="313"/>
      <c r="I32" s="321"/>
      <c r="J32" s="321"/>
      <c r="K32" s="321"/>
      <c r="L32" s="321"/>
      <c r="M32" s="321"/>
      <c r="N32" s="321"/>
      <c r="O32" s="321"/>
      <c r="P32" s="321"/>
      <c r="Q32" s="321"/>
      <c r="R32" s="321"/>
      <c r="S32" s="321"/>
      <c r="T32" s="321"/>
      <c r="U32" s="321"/>
      <c r="V32" s="321"/>
      <c r="W32" s="321"/>
      <c r="X32" s="321"/>
      <c r="Y32" s="321"/>
      <c r="Z32" s="321"/>
      <c r="AA32" s="322"/>
      <c r="AB32" s="312"/>
      <c r="AC32" s="623"/>
      <c r="AD32" s="623"/>
      <c r="AE32" s="623"/>
      <c r="AF32" s="621"/>
      <c r="AG32" s="317"/>
      <c r="AH32" s="312"/>
      <c r="AI32" s="312"/>
      <c r="AJ32" s="312"/>
      <c r="AK32" s="312"/>
      <c r="AL32" s="319"/>
      <c r="AM32" s="319"/>
      <c r="AN32" s="319"/>
      <c r="AO32" s="624"/>
      <c r="AP32" s="624"/>
      <c r="AQ32" s="226"/>
      <c r="AR32" s="226"/>
      <c r="AS32" s="226"/>
      <c r="AT32" s="312"/>
      <c r="AU32" s="312"/>
      <c r="AV32" s="312"/>
      <c r="AW32" s="312"/>
      <c r="AX32" s="312"/>
      <c r="AY32" s="312"/>
      <c r="AZ32" s="312"/>
      <c r="BA32" s="312"/>
      <c r="BB32" s="312"/>
      <c r="BC32" s="319"/>
      <c r="BD32" s="323"/>
      <c r="BE32" s="307"/>
      <c r="BF32" s="308" t="s">
        <v>139</v>
      </c>
      <c r="BG32" s="304" t="s">
        <v>177</v>
      </c>
      <c r="BH32" s="81" t="s">
        <v>462</v>
      </c>
      <c r="BI32" s="81">
        <f>ABS(BI30-BI31)</f>
        <v>2145000</v>
      </c>
      <c r="BJ32" s="81" t="s">
        <v>466</v>
      </c>
      <c r="BK32" s="81" t="s">
        <v>466</v>
      </c>
      <c r="BL32" s="81"/>
      <c r="BM32" s="81" t="s">
        <v>466</v>
      </c>
      <c r="BN32" s="81"/>
      <c r="BO32" s="81" t="s">
        <v>466</v>
      </c>
      <c r="BP32" s="81"/>
      <c r="BQ32" s="81" t="s">
        <v>466</v>
      </c>
      <c r="BR32" s="81"/>
      <c r="BS32" s="81" t="s">
        <v>466</v>
      </c>
      <c r="BT32" s="81"/>
      <c r="BU32" s="81" t="s">
        <v>466</v>
      </c>
      <c r="BV32" s="81"/>
      <c r="BW32" s="81" t="s">
        <v>466</v>
      </c>
      <c r="BX32" s="81"/>
      <c r="BY32" s="81" t="s">
        <v>466</v>
      </c>
      <c r="BZ32" s="81"/>
      <c r="CA32" s="81" t="s">
        <v>466</v>
      </c>
      <c r="CB32" s="81"/>
      <c r="CC32" s="81" t="s">
        <v>466</v>
      </c>
      <c r="CD32" s="81"/>
      <c r="CE32" s="81" t="s">
        <v>466</v>
      </c>
      <c r="CF32" s="81"/>
      <c r="CG32" s="81" t="s">
        <v>466</v>
      </c>
      <c r="CH32" s="81"/>
      <c r="CI32" s="81" t="s">
        <v>466</v>
      </c>
      <c r="CJ32" s="81"/>
      <c r="CK32" s="81" t="s">
        <v>466</v>
      </c>
      <c r="CL32" s="81"/>
      <c r="CM32" s="81" t="s">
        <v>466</v>
      </c>
      <c r="CN32" s="81"/>
      <c r="CO32" s="81" t="s">
        <v>466</v>
      </c>
      <c r="CP32" s="81"/>
      <c r="CQ32" s="81" t="s">
        <v>466</v>
      </c>
      <c r="CR32" s="81"/>
      <c r="CS32" s="81" t="s">
        <v>466</v>
      </c>
      <c r="CT32" s="81"/>
      <c r="CU32" s="81" t="s">
        <v>466</v>
      </c>
      <c r="CV32" s="81"/>
      <c r="CW32" s="81" t="s">
        <v>466</v>
      </c>
      <c r="CX32" s="81"/>
      <c r="CY32" s="81" t="s">
        <v>466</v>
      </c>
      <c r="CZ32" s="81"/>
      <c r="DA32" s="81" t="s">
        <v>466</v>
      </c>
      <c r="DB32" s="81"/>
      <c r="DC32" s="81" t="s">
        <v>466</v>
      </c>
      <c r="DD32" s="227"/>
      <c r="DE32" s="255">
        <v>108</v>
      </c>
      <c r="DF32" s="628" t="s">
        <v>240</v>
      </c>
      <c r="DG32" s="255">
        <v>35460</v>
      </c>
      <c r="DH32" s="255">
        <v>10060</v>
      </c>
      <c r="DI32" s="255">
        <v>126</v>
      </c>
      <c r="DJ32" s="255">
        <v>12540</v>
      </c>
      <c r="DK32" s="227"/>
      <c r="DL32" s="227"/>
      <c r="DM32" s="227"/>
    </row>
    <row r="33" spans="1:117" s="235" customFormat="1" ht="9.6" customHeight="1" x14ac:dyDescent="0.2">
      <c r="A33" s="230"/>
      <c r="B33" s="302"/>
      <c r="C33" s="300"/>
      <c r="D33" s="220"/>
      <c r="E33" s="324"/>
      <c r="F33" s="324"/>
      <c r="G33" s="227"/>
      <c r="H33" s="220"/>
      <c r="I33" s="323"/>
      <c r="J33" s="323"/>
      <c r="K33" s="323"/>
      <c r="L33" s="323"/>
      <c r="M33" s="323"/>
      <c r="N33" s="323"/>
      <c r="O33" s="323"/>
      <c r="P33" s="323"/>
      <c r="Q33" s="323"/>
      <c r="R33" s="323"/>
      <c r="S33" s="323"/>
      <c r="T33" s="323"/>
      <c r="U33" s="323"/>
      <c r="V33" s="323"/>
      <c r="W33" s="323"/>
      <c r="X33" s="323"/>
      <c r="Y33" s="323"/>
      <c r="Z33" s="323"/>
      <c r="AA33" s="324"/>
      <c r="AB33" s="324"/>
      <c r="AC33" s="324"/>
      <c r="AD33" s="323"/>
      <c r="AE33" s="323"/>
      <c r="AF33" s="324"/>
      <c r="AG33" s="324"/>
      <c r="AH33" s="324"/>
      <c r="AI33" s="324"/>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233"/>
      <c r="BF33" s="81">
        <v>4</v>
      </c>
      <c r="BG33" s="269" t="s">
        <v>421</v>
      </c>
      <c r="BH33" s="81" t="s">
        <v>462</v>
      </c>
      <c r="BI33" s="81">
        <f>F11</f>
        <v>0</v>
      </c>
      <c r="BJ33" s="81" t="s">
        <v>466</v>
      </c>
      <c r="BK33" s="81" t="s">
        <v>466</v>
      </c>
      <c r="BL33" s="81"/>
      <c r="BM33" s="81" t="s">
        <v>466</v>
      </c>
      <c r="BN33" s="81"/>
      <c r="BO33" s="81" t="s">
        <v>466</v>
      </c>
      <c r="BP33" s="81"/>
      <c r="BQ33" s="81" t="s">
        <v>466</v>
      </c>
      <c r="BR33" s="81"/>
      <c r="BS33" s="81" t="s">
        <v>466</v>
      </c>
      <c r="BT33" s="81"/>
      <c r="BU33" s="81" t="s">
        <v>466</v>
      </c>
      <c r="BV33" s="81"/>
      <c r="BW33" s="81" t="s">
        <v>466</v>
      </c>
      <c r="BX33" s="81"/>
      <c r="BY33" s="81" t="s">
        <v>466</v>
      </c>
      <c r="BZ33" s="81"/>
      <c r="CA33" s="81" t="s">
        <v>466</v>
      </c>
      <c r="CB33" s="81"/>
      <c r="CC33" s="81" t="s">
        <v>466</v>
      </c>
      <c r="CD33" s="81"/>
      <c r="CE33" s="81" t="s">
        <v>466</v>
      </c>
      <c r="CF33" s="81"/>
      <c r="CG33" s="81" t="s">
        <v>466</v>
      </c>
      <c r="CH33" s="81"/>
      <c r="CI33" s="81" t="s">
        <v>466</v>
      </c>
      <c r="CJ33" s="81"/>
      <c r="CK33" s="81" t="s">
        <v>466</v>
      </c>
      <c r="CL33" s="81"/>
      <c r="CM33" s="81" t="s">
        <v>466</v>
      </c>
      <c r="CN33" s="81"/>
      <c r="CO33" s="81" t="s">
        <v>466</v>
      </c>
      <c r="CP33" s="81"/>
      <c r="CQ33" s="81" t="s">
        <v>466</v>
      </c>
      <c r="CR33" s="81"/>
      <c r="CS33" s="81" t="s">
        <v>466</v>
      </c>
      <c r="CT33" s="81"/>
      <c r="CU33" s="81" t="s">
        <v>466</v>
      </c>
      <c r="CV33" s="81"/>
      <c r="CW33" s="81" t="s">
        <v>466</v>
      </c>
      <c r="CX33" s="81"/>
      <c r="CY33" s="81" t="s">
        <v>466</v>
      </c>
      <c r="CZ33" s="81"/>
      <c r="DA33" s="81" t="s">
        <v>466</v>
      </c>
      <c r="DB33" s="81"/>
      <c r="DC33" s="81" t="s">
        <v>466</v>
      </c>
      <c r="DD33" s="325"/>
      <c r="DE33" s="255">
        <v>132</v>
      </c>
      <c r="DF33" s="628" t="s">
        <v>559</v>
      </c>
      <c r="DG33" s="255">
        <v>918.8</v>
      </c>
      <c r="DH33" s="255">
        <v>300</v>
      </c>
      <c r="DI33" s="255">
        <v>0</v>
      </c>
      <c r="DJ33" s="255">
        <v>300</v>
      </c>
      <c r="DK33" s="325"/>
      <c r="DL33" s="325"/>
      <c r="DM33" s="325"/>
    </row>
    <row r="34" spans="1:117" ht="15.75" customHeight="1" x14ac:dyDescent="0.25">
      <c r="B34" s="199">
        <v>3</v>
      </c>
      <c r="C34" s="326" t="s">
        <v>122</v>
      </c>
      <c r="D34" s="327"/>
      <c r="E34" s="326"/>
      <c r="F34" s="328"/>
      <c r="G34" s="329"/>
      <c r="H34" s="330"/>
      <c r="I34" s="331"/>
      <c r="J34" s="330"/>
      <c r="K34" s="331"/>
      <c r="L34" s="331"/>
      <c r="M34" s="331"/>
      <c r="N34" s="331"/>
      <c r="O34" s="331"/>
      <c r="P34" s="331"/>
      <c r="Q34" s="331"/>
      <c r="R34" s="330"/>
      <c r="S34" s="331"/>
      <c r="T34" s="330"/>
      <c r="U34" s="331"/>
      <c r="V34" s="330"/>
      <c r="W34" s="329"/>
      <c r="X34" s="330"/>
      <c r="Y34" s="329"/>
      <c r="Z34" s="330"/>
      <c r="AA34" s="329"/>
      <c r="AB34" s="330"/>
      <c r="AC34" s="329"/>
      <c r="AD34" s="330"/>
      <c r="AE34" s="329"/>
      <c r="AF34" s="330"/>
      <c r="AG34" s="329"/>
      <c r="AH34" s="330"/>
      <c r="AI34" s="331"/>
      <c r="AJ34" s="330"/>
      <c r="AK34" s="329"/>
      <c r="AL34" s="330"/>
      <c r="AM34" s="329"/>
      <c r="AN34" s="330"/>
      <c r="AO34" s="329"/>
      <c r="AP34" s="329"/>
      <c r="AQ34" s="329"/>
      <c r="AR34" s="329"/>
      <c r="AS34" s="329"/>
      <c r="AT34" s="330"/>
      <c r="AU34" s="332"/>
      <c r="AV34" s="328"/>
      <c r="AW34" s="328"/>
      <c r="AX34" s="330"/>
      <c r="AY34" s="332"/>
      <c r="AZ34" s="328"/>
      <c r="BA34" s="328"/>
      <c r="BB34" s="328"/>
      <c r="BC34" s="328"/>
      <c r="BD34" s="328"/>
      <c r="BF34" s="303">
        <v>14</v>
      </c>
      <c r="BG34" s="304" t="s">
        <v>446</v>
      </c>
      <c r="BH34" s="81" t="s">
        <v>462</v>
      </c>
      <c r="BI34" s="81">
        <f>VLOOKUP(B3,DE7:DJ183,5,FALSE)</f>
        <v>215000</v>
      </c>
      <c r="BJ34" s="81" t="s">
        <v>466</v>
      </c>
      <c r="BK34" s="81" t="s">
        <v>466</v>
      </c>
      <c r="BL34" s="81"/>
      <c r="BM34" s="81" t="s">
        <v>466</v>
      </c>
      <c r="BN34" s="81"/>
      <c r="BO34" s="81" t="s">
        <v>466</v>
      </c>
      <c r="BP34" s="81"/>
      <c r="BQ34" s="81" t="s">
        <v>466</v>
      </c>
      <c r="BR34" s="81"/>
      <c r="BS34" s="81" t="s">
        <v>466</v>
      </c>
      <c r="BT34" s="81"/>
      <c r="BU34" s="81" t="s">
        <v>466</v>
      </c>
      <c r="BV34" s="81"/>
      <c r="BW34" s="81" t="s">
        <v>466</v>
      </c>
      <c r="BX34" s="81"/>
      <c r="BY34" s="81" t="s">
        <v>466</v>
      </c>
      <c r="BZ34" s="81"/>
      <c r="CA34" s="81" t="s">
        <v>466</v>
      </c>
      <c r="CB34" s="81"/>
      <c r="CC34" s="81" t="s">
        <v>466</v>
      </c>
      <c r="CD34" s="81"/>
      <c r="CE34" s="81" t="s">
        <v>466</v>
      </c>
      <c r="CF34" s="81"/>
      <c r="CG34" s="81" t="s">
        <v>466</v>
      </c>
      <c r="CH34" s="81"/>
      <c r="CI34" s="81" t="s">
        <v>466</v>
      </c>
      <c r="CJ34" s="81"/>
      <c r="CK34" s="81" t="s">
        <v>466</v>
      </c>
      <c r="CL34" s="81"/>
      <c r="CM34" s="81" t="s">
        <v>466</v>
      </c>
      <c r="CN34" s="81"/>
      <c r="CO34" s="81" t="s">
        <v>466</v>
      </c>
      <c r="CP34" s="81"/>
      <c r="CQ34" s="81" t="s">
        <v>466</v>
      </c>
      <c r="CR34" s="81"/>
      <c r="CS34" s="81" t="s">
        <v>466</v>
      </c>
      <c r="CT34" s="81"/>
      <c r="CU34" s="81" t="s">
        <v>466</v>
      </c>
      <c r="CV34" s="81"/>
      <c r="CW34" s="81" t="s">
        <v>466</v>
      </c>
      <c r="CX34" s="81"/>
      <c r="CY34" s="81" t="s">
        <v>466</v>
      </c>
      <c r="CZ34" s="81"/>
      <c r="DA34" s="81" t="s">
        <v>466</v>
      </c>
      <c r="DB34" s="81"/>
      <c r="DC34" s="81" t="s">
        <v>466</v>
      </c>
      <c r="DE34" s="255">
        <v>116</v>
      </c>
      <c r="DF34" s="628" t="s">
        <v>241</v>
      </c>
      <c r="DG34" s="255">
        <v>344700</v>
      </c>
      <c r="DH34" s="255">
        <v>120600</v>
      </c>
      <c r="DI34" s="255">
        <v>355500</v>
      </c>
      <c r="DJ34" s="255">
        <v>476100</v>
      </c>
    </row>
    <row r="35" spans="1:117" ht="8.4499999999999993" customHeight="1" x14ac:dyDescent="0.25">
      <c r="C35" s="333"/>
      <c r="D35" s="334"/>
      <c r="E35" s="335"/>
      <c r="F35" s="220"/>
      <c r="G35" s="226"/>
      <c r="H35" s="225"/>
      <c r="I35" s="312"/>
      <c r="J35" s="225"/>
      <c r="K35" s="312"/>
      <c r="L35" s="312"/>
      <c r="M35" s="312"/>
      <c r="N35" s="312"/>
      <c r="O35" s="312"/>
      <c r="P35" s="312"/>
      <c r="Q35" s="312"/>
      <c r="R35" s="225"/>
      <c r="S35" s="312"/>
      <c r="T35" s="225"/>
      <c r="U35" s="312"/>
      <c r="V35" s="225"/>
      <c r="W35" s="226"/>
      <c r="X35" s="225"/>
      <c r="Y35" s="226"/>
      <c r="Z35" s="225"/>
      <c r="AA35" s="226"/>
      <c r="AB35" s="225"/>
      <c r="AC35" s="226"/>
      <c r="AD35" s="225"/>
      <c r="AE35" s="226"/>
      <c r="AF35" s="225"/>
      <c r="AG35" s="226"/>
      <c r="AH35" s="225"/>
      <c r="AI35" s="312"/>
      <c r="AJ35" s="225"/>
      <c r="AK35" s="226"/>
      <c r="AL35" s="225"/>
      <c r="AM35" s="226"/>
      <c r="AN35" s="225"/>
      <c r="AO35" s="226"/>
      <c r="AP35" s="226"/>
      <c r="AQ35" s="226"/>
      <c r="AR35" s="226"/>
      <c r="AS35" s="226"/>
      <c r="AT35" s="225"/>
      <c r="AU35" s="219"/>
      <c r="AV35" s="220"/>
      <c r="AW35" s="220"/>
      <c r="AX35" s="225"/>
      <c r="AY35" s="219"/>
      <c r="AZ35" s="220"/>
      <c r="BA35" s="220"/>
      <c r="BB35" s="220"/>
      <c r="BC35" s="220"/>
      <c r="BD35" s="220"/>
      <c r="BF35" s="308" t="s">
        <v>139</v>
      </c>
      <c r="BG35" s="304" t="s">
        <v>178</v>
      </c>
      <c r="BH35" s="81" t="s">
        <v>462</v>
      </c>
      <c r="BI35" s="81">
        <f>ABS(BI33-BI34)</f>
        <v>215000</v>
      </c>
      <c r="BJ35" s="81" t="s">
        <v>466</v>
      </c>
      <c r="BK35" s="81" t="s">
        <v>466</v>
      </c>
      <c r="BL35" s="81"/>
      <c r="BM35" s="81" t="s">
        <v>466</v>
      </c>
      <c r="BN35" s="81"/>
      <c r="BO35" s="81" t="s">
        <v>466</v>
      </c>
      <c r="BP35" s="81"/>
      <c r="BQ35" s="81" t="s">
        <v>466</v>
      </c>
      <c r="BR35" s="81"/>
      <c r="BS35" s="81" t="s">
        <v>466</v>
      </c>
      <c r="BT35" s="81"/>
      <c r="BU35" s="81" t="s">
        <v>466</v>
      </c>
      <c r="BV35" s="81"/>
      <c r="BW35" s="81" t="s">
        <v>466</v>
      </c>
      <c r="BX35" s="81"/>
      <c r="BY35" s="81" t="s">
        <v>466</v>
      </c>
      <c r="BZ35" s="81"/>
      <c r="CA35" s="81" t="s">
        <v>466</v>
      </c>
      <c r="CB35" s="81"/>
      <c r="CC35" s="81" t="s">
        <v>466</v>
      </c>
      <c r="CD35" s="81"/>
      <c r="CE35" s="81" t="s">
        <v>466</v>
      </c>
      <c r="CF35" s="81"/>
      <c r="CG35" s="81" t="s">
        <v>466</v>
      </c>
      <c r="CH35" s="81"/>
      <c r="CI35" s="81" t="s">
        <v>466</v>
      </c>
      <c r="CJ35" s="81"/>
      <c r="CK35" s="81" t="s">
        <v>466</v>
      </c>
      <c r="CL35" s="81"/>
      <c r="CM35" s="81" t="s">
        <v>466</v>
      </c>
      <c r="CN35" s="81"/>
      <c r="CO35" s="81" t="s">
        <v>466</v>
      </c>
      <c r="CP35" s="81"/>
      <c r="CQ35" s="81" t="s">
        <v>466</v>
      </c>
      <c r="CR35" s="81"/>
      <c r="CS35" s="81" t="s">
        <v>466</v>
      </c>
      <c r="CT35" s="81"/>
      <c r="CU35" s="81" t="s">
        <v>466</v>
      </c>
      <c r="CV35" s="81"/>
      <c r="CW35" s="81" t="s">
        <v>466</v>
      </c>
      <c r="CX35" s="81"/>
      <c r="CY35" s="81" t="s">
        <v>466</v>
      </c>
      <c r="CZ35" s="81"/>
      <c r="DA35" s="81" t="s">
        <v>466</v>
      </c>
      <c r="DB35" s="81"/>
      <c r="DC35" s="81" t="s">
        <v>466</v>
      </c>
      <c r="DE35" s="255">
        <v>120</v>
      </c>
      <c r="DF35" s="628" t="s">
        <v>242</v>
      </c>
      <c r="DG35" s="255">
        <v>762600</v>
      </c>
      <c r="DH35" s="255">
        <v>273000</v>
      </c>
      <c r="DI35" s="255">
        <v>4000</v>
      </c>
      <c r="DJ35" s="255">
        <v>283100</v>
      </c>
    </row>
    <row r="36" spans="1:117" ht="18" customHeight="1" x14ac:dyDescent="0.2">
      <c r="C36" s="336" t="s">
        <v>525</v>
      </c>
      <c r="D36" s="796" t="s">
        <v>526</v>
      </c>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7"/>
      <c r="BA36" s="797"/>
      <c r="BB36" s="797"/>
      <c r="BC36" s="797"/>
      <c r="BD36" s="798"/>
      <c r="BF36" s="98">
        <v>5</v>
      </c>
      <c r="BG36" s="278" t="s">
        <v>417</v>
      </c>
      <c r="BH36" s="81" t="s">
        <v>462</v>
      </c>
      <c r="BI36" s="81">
        <f>F12</f>
        <v>0</v>
      </c>
      <c r="BJ36" s="81" t="s">
        <v>466</v>
      </c>
      <c r="BK36" s="81" t="s">
        <v>466</v>
      </c>
      <c r="BL36" s="81"/>
      <c r="BM36" s="81" t="s">
        <v>466</v>
      </c>
      <c r="BN36" s="81"/>
      <c r="BO36" s="81" t="s">
        <v>466</v>
      </c>
      <c r="BP36" s="81"/>
      <c r="BQ36" s="81" t="s">
        <v>466</v>
      </c>
      <c r="BR36" s="81"/>
      <c r="BS36" s="81" t="s">
        <v>466</v>
      </c>
      <c r="BT36" s="81"/>
      <c r="BU36" s="81" t="s">
        <v>466</v>
      </c>
      <c r="BV36" s="81"/>
      <c r="BW36" s="81" t="s">
        <v>466</v>
      </c>
      <c r="BX36" s="81"/>
      <c r="BY36" s="81" t="s">
        <v>466</v>
      </c>
      <c r="BZ36" s="81"/>
      <c r="CA36" s="81" t="s">
        <v>466</v>
      </c>
      <c r="CB36" s="81"/>
      <c r="CC36" s="81" t="s">
        <v>466</v>
      </c>
      <c r="CD36" s="81"/>
      <c r="CE36" s="81" t="s">
        <v>466</v>
      </c>
      <c r="CF36" s="81"/>
      <c r="CG36" s="81" t="s">
        <v>466</v>
      </c>
      <c r="CH36" s="81"/>
      <c r="CI36" s="81" t="s">
        <v>466</v>
      </c>
      <c r="CJ36" s="81"/>
      <c r="CK36" s="81" t="s">
        <v>466</v>
      </c>
      <c r="CL36" s="81"/>
      <c r="CM36" s="81" t="s">
        <v>466</v>
      </c>
      <c r="CN36" s="81"/>
      <c r="CO36" s="81" t="s">
        <v>466</v>
      </c>
      <c r="CP36" s="81"/>
      <c r="CQ36" s="81" t="s">
        <v>466</v>
      </c>
      <c r="CR36" s="81"/>
      <c r="CS36" s="81" t="s">
        <v>466</v>
      </c>
      <c r="CT36" s="81"/>
      <c r="CU36" s="81" t="s">
        <v>466</v>
      </c>
      <c r="CV36" s="81"/>
      <c r="CW36" s="81" t="s">
        <v>466</v>
      </c>
      <c r="CX36" s="81"/>
      <c r="CY36" s="81" t="s">
        <v>466</v>
      </c>
      <c r="CZ36" s="81"/>
      <c r="DA36" s="81" t="s">
        <v>466</v>
      </c>
      <c r="DB36" s="81"/>
      <c r="DC36" s="81" t="s">
        <v>466</v>
      </c>
      <c r="DE36" s="255">
        <v>140</v>
      </c>
      <c r="DF36" s="628" t="s">
        <v>243</v>
      </c>
      <c r="DG36" s="255">
        <v>836700</v>
      </c>
      <c r="DH36" s="255">
        <v>141000</v>
      </c>
      <c r="DI36" s="255">
        <v>0</v>
      </c>
      <c r="DJ36" s="255">
        <v>141000</v>
      </c>
    </row>
    <row r="37" spans="1:117" ht="18" customHeight="1" x14ac:dyDescent="0.2">
      <c r="C37" s="577"/>
      <c r="D37" s="799"/>
      <c r="E37" s="800"/>
      <c r="F37" s="800"/>
      <c r="G37" s="800"/>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1"/>
      <c r="BF37" s="303">
        <v>15</v>
      </c>
      <c r="BG37" s="304" t="s">
        <v>445</v>
      </c>
      <c r="BH37" s="81" t="s">
        <v>462</v>
      </c>
      <c r="BI37" s="81">
        <f>VLOOKUP(B3,DE7:DJ183,6,FALSE)</f>
        <v>2360000</v>
      </c>
      <c r="BJ37" s="81" t="s">
        <v>466</v>
      </c>
      <c r="BK37" s="81" t="s">
        <v>466</v>
      </c>
      <c r="BL37" s="81"/>
      <c r="BM37" s="81" t="s">
        <v>466</v>
      </c>
      <c r="BN37" s="81"/>
      <c r="BO37" s="81" t="s">
        <v>466</v>
      </c>
      <c r="BP37" s="81"/>
      <c r="BQ37" s="81" t="s">
        <v>466</v>
      </c>
      <c r="BR37" s="81"/>
      <c r="BS37" s="81" t="s">
        <v>466</v>
      </c>
      <c r="BT37" s="81"/>
      <c r="BU37" s="81" t="s">
        <v>466</v>
      </c>
      <c r="BV37" s="81"/>
      <c r="BW37" s="81" t="s">
        <v>466</v>
      </c>
      <c r="BX37" s="81"/>
      <c r="BY37" s="81" t="s">
        <v>466</v>
      </c>
      <c r="BZ37" s="81"/>
      <c r="CA37" s="81" t="s">
        <v>466</v>
      </c>
      <c r="CB37" s="81"/>
      <c r="CC37" s="81" t="s">
        <v>466</v>
      </c>
      <c r="CD37" s="81"/>
      <c r="CE37" s="81" t="s">
        <v>466</v>
      </c>
      <c r="CF37" s="81"/>
      <c r="CG37" s="81" t="s">
        <v>466</v>
      </c>
      <c r="CH37" s="81"/>
      <c r="CI37" s="81" t="s">
        <v>466</v>
      </c>
      <c r="CJ37" s="81"/>
      <c r="CK37" s="81" t="s">
        <v>466</v>
      </c>
      <c r="CL37" s="81"/>
      <c r="CM37" s="81" t="s">
        <v>466</v>
      </c>
      <c r="CN37" s="81"/>
      <c r="CO37" s="81" t="s">
        <v>466</v>
      </c>
      <c r="CP37" s="81"/>
      <c r="CQ37" s="81" t="s">
        <v>466</v>
      </c>
      <c r="CR37" s="81"/>
      <c r="CS37" s="81" t="s">
        <v>466</v>
      </c>
      <c r="CT37" s="81"/>
      <c r="CU37" s="81" t="s">
        <v>466</v>
      </c>
      <c r="CV37" s="81"/>
      <c r="CW37" s="81" t="s">
        <v>466</v>
      </c>
      <c r="CX37" s="81"/>
      <c r="CY37" s="81" t="s">
        <v>466</v>
      </c>
      <c r="CZ37" s="81"/>
      <c r="DA37" s="81" t="s">
        <v>466</v>
      </c>
      <c r="DB37" s="81"/>
      <c r="DC37" s="81" t="s">
        <v>466</v>
      </c>
      <c r="DE37" s="255">
        <v>148</v>
      </c>
      <c r="DF37" s="628" t="s">
        <v>244</v>
      </c>
      <c r="DG37" s="255">
        <v>413400</v>
      </c>
      <c r="DH37" s="255">
        <v>15000</v>
      </c>
      <c r="DI37" s="255">
        <v>30700</v>
      </c>
      <c r="DJ37" s="255">
        <v>45700</v>
      </c>
    </row>
    <row r="38" spans="1:117" ht="18" customHeight="1" x14ac:dyDescent="0.2">
      <c r="C38" s="577"/>
      <c r="D38" s="788"/>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89"/>
      <c r="BD38" s="790"/>
      <c r="BF38" s="337" t="s">
        <v>139</v>
      </c>
      <c r="BG38" s="338" t="s">
        <v>179</v>
      </c>
      <c r="BH38" s="96" t="s">
        <v>462</v>
      </c>
      <c r="BI38" s="96">
        <f>ABS(BI36-BI37)</f>
        <v>2360000</v>
      </c>
      <c r="BJ38" s="96" t="s">
        <v>466</v>
      </c>
      <c r="BK38" s="96" t="s">
        <v>466</v>
      </c>
      <c r="BL38" s="96"/>
      <c r="BM38" s="96" t="s">
        <v>466</v>
      </c>
      <c r="BN38" s="96"/>
      <c r="BO38" s="96" t="s">
        <v>466</v>
      </c>
      <c r="BP38" s="96"/>
      <c r="BQ38" s="96" t="s">
        <v>466</v>
      </c>
      <c r="BR38" s="96"/>
      <c r="BS38" s="96" t="s">
        <v>466</v>
      </c>
      <c r="BT38" s="96"/>
      <c r="BU38" s="96" t="s">
        <v>466</v>
      </c>
      <c r="BV38" s="96"/>
      <c r="BW38" s="96" t="s">
        <v>466</v>
      </c>
      <c r="BX38" s="96"/>
      <c r="BY38" s="96" t="s">
        <v>466</v>
      </c>
      <c r="BZ38" s="96"/>
      <c r="CA38" s="96" t="s">
        <v>466</v>
      </c>
      <c r="CB38" s="96"/>
      <c r="CC38" s="96" t="s">
        <v>466</v>
      </c>
      <c r="CD38" s="96"/>
      <c r="CE38" s="96" t="s">
        <v>466</v>
      </c>
      <c r="CF38" s="96"/>
      <c r="CG38" s="96" t="s">
        <v>466</v>
      </c>
      <c r="CH38" s="96"/>
      <c r="CI38" s="96" t="s">
        <v>466</v>
      </c>
      <c r="CJ38" s="96"/>
      <c r="CK38" s="96" t="s">
        <v>466</v>
      </c>
      <c r="CL38" s="96"/>
      <c r="CM38" s="96" t="s">
        <v>466</v>
      </c>
      <c r="CN38" s="96"/>
      <c r="CO38" s="96" t="s">
        <v>466</v>
      </c>
      <c r="CP38" s="96"/>
      <c r="CQ38" s="96" t="s">
        <v>466</v>
      </c>
      <c r="CR38" s="96"/>
      <c r="CS38" s="96" t="s">
        <v>466</v>
      </c>
      <c r="CT38" s="96"/>
      <c r="CU38" s="96" t="s">
        <v>466</v>
      </c>
      <c r="CV38" s="96"/>
      <c r="CW38" s="96" t="s">
        <v>466</v>
      </c>
      <c r="CX38" s="96"/>
      <c r="CY38" s="96" t="s">
        <v>466</v>
      </c>
      <c r="CZ38" s="96"/>
      <c r="DA38" s="96" t="s">
        <v>466</v>
      </c>
      <c r="DB38" s="96"/>
      <c r="DC38" s="96" t="s">
        <v>466</v>
      </c>
      <c r="DE38" s="255">
        <v>156</v>
      </c>
      <c r="DF38" s="628" t="s">
        <v>245</v>
      </c>
      <c r="DG38" s="255">
        <v>6192000</v>
      </c>
      <c r="DH38" s="255">
        <v>2813000</v>
      </c>
      <c r="DI38" s="255">
        <v>17170</v>
      </c>
      <c r="DJ38" s="255">
        <v>2840000</v>
      </c>
    </row>
    <row r="39" spans="1:117" ht="18" customHeight="1" x14ac:dyDescent="0.2">
      <c r="C39" s="577"/>
      <c r="D39" s="788"/>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c r="AV39" s="789"/>
      <c r="AW39" s="789"/>
      <c r="AX39" s="789"/>
      <c r="AY39" s="789"/>
      <c r="AZ39" s="789"/>
      <c r="BA39" s="789"/>
      <c r="BB39" s="789"/>
      <c r="BC39" s="789"/>
      <c r="BD39" s="790"/>
      <c r="BF39" s="339" t="s">
        <v>447</v>
      </c>
      <c r="BG39" s="340" t="s">
        <v>448</v>
      </c>
      <c r="DE39" s="255">
        <v>344</v>
      </c>
      <c r="DF39" s="628" t="s">
        <v>246</v>
      </c>
      <c r="DG39" s="255"/>
      <c r="DH39" s="255"/>
      <c r="DI39" s="255"/>
      <c r="DJ39" s="255"/>
    </row>
    <row r="40" spans="1:117" ht="18" customHeight="1" x14ac:dyDescent="0.2">
      <c r="C40" s="577"/>
      <c r="D40" s="788"/>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789"/>
      <c r="BD40" s="790"/>
      <c r="BF40" s="339" t="s">
        <v>449</v>
      </c>
      <c r="BG40" s="340" t="s">
        <v>450</v>
      </c>
      <c r="DE40" s="255">
        <v>446</v>
      </c>
      <c r="DF40" s="628" t="s">
        <v>247</v>
      </c>
      <c r="DG40" s="255"/>
      <c r="DH40" s="255"/>
      <c r="DI40" s="255"/>
      <c r="DJ40" s="255"/>
    </row>
    <row r="41" spans="1:117" ht="18" customHeight="1" x14ac:dyDescent="0.2">
      <c r="C41" s="577"/>
      <c r="D41" s="788"/>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789"/>
      <c r="BD41" s="790"/>
      <c r="BF41" s="341" t="s">
        <v>452</v>
      </c>
      <c r="BG41" s="340" t="s">
        <v>454</v>
      </c>
      <c r="BH41" s="342"/>
      <c r="DE41" s="255">
        <v>170</v>
      </c>
      <c r="DF41" s="628" t="s">
        <v>248</v>
      </c>
      <c r="DG41" s="255">
        <v>3699000</v>
      </c>
      <c r="DH41" s="255">
        <v>2145000</v>
      </c>
      <c r="DI41" s="255">
        <v>215000</v>
      </c>
      <c r="DJ41" s="255">
        <v>2360000</v>
      </c>
    </row>
    <row r="42" spans="1:117" ht="18" customHeight="1" x14ac:dyDescent="0.2">
      <c r="C42" s="577"/>
      <c r="D42" s="788"/>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90"/>
      <c r="BF42" s="341" t="s">
        <v>451</v>
      </c>
      <c r="BG42" s="340" t="s">
        <v>386</v>
      </c>
      <c r="BH42" s="342"/>
      <c r="DE42" s="255">
        <v>174</v>
      </c>
      <c r="DF42" s="628" t="s">
        <v>249</v>
      </c>
      <c r="DG42" s="255">
        <v>1675</v>
      </c>
      <c r="DH42" s="255">
        <v>1200</v>
      </c>
      <c r="DI42" s="255">
        <v>0</v>
      </c>
      <c r="DJ42" s="255">
        <v>1200</v>
      </c>
    </row>
    <row r="43" spans="1:117" ht="18" customHeight="1" x14ac:dyDescent="0.2">
      <c r="C43" s="577"/>
      <c r="D43" s="788"/>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89"/>
      <c r="AY43" s="789"/>
      <c r="AZ43" s="789"/>
      <c r="BA43" s="789"/>
      <c r="BB43" s="789"/>
      <c r="BC43" s="789"/>
      <c r="BD43" s="790"/>
      <c r="BF43" s="339" t="s">
        <v>453</v>
      </c>
      <c r="BG43" s="340" t="s">
        <v>455</v>
      </c>
      <c r="BH43" s="342"/>
      <c r="DE43" s="255">
        <v>178</v>
      </c>
      <c r="DF43" s="628" t="s">
        <v>250</v>
      </c>
      <c r="DG43" s="255">
        <v>562900</v>
      </c>
      <c r="DH43" s="255">
        <v>222000</v>
      </c>
      <c r="DI43" s="255">
        <v>52000</v>
      </c>
      <c r="DJ43" s="255">
        <v>832000</v>
      </c>
    </row>
    <row r="44" spans="1:117" ht="18" customHeight="1" x14ac:dyDescent="0.2">
      <c r="C44" s="577"/>
      <c r="D44" s="788"/>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789"/>
      <c r="AZ44" s="789"/>
      <c r="BA44" s="789"/>
      <c r="BB44" s="789"/>
      <c r="BC44" s="789"/>
      <c r="BD44" s="790"/>
      <c r="BH44" s="342"/>
      <c r="DE44" s="255">
        <v>188</v>
      </c>
      <c r="DF44" s="628" t="s">
        <v>251</v>
      </c>
      <c r="DG44" s="255">
        <v>149500</v>
      </c>
      <c r="DH44" s="255">
        <v>113000</v>
      </c>
      <c r="DI44" s="255">
        <v>0</v>
      </c>
      <c r="DJ44" s="255">
        <v>113000</v>
      </c>
    </row>
    <row r="45" spans="1:117" ht="18" customHeight="1" x14ac:dyDescent="0.2">
      <c r="C45" s="577"/>
      <c r="D45" s="788"/>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89"/>
      <c r="AY45" s="789"/>
      <c r="AZ45" s="789"/>
      <c r="BA45" s="789"/>
      <c r="BB45" s="789"/>
      <c r="BC45" s="789"/>
      <c r="BD45" s="790"/>
      <c r="DE45" s="255">
        <v>384</v>
      </c>
      <c r="DF45" s="628" t="s">
        <v>97</v>
      </c>
      <c r="DG45" s="255">
        <v>434700</v>
      </c>
      <c r="DH45" s="255">
        <v>76840</v>
      </c>
      <c r="DI45" s="255">
        <v>4300</v>
      </c>
      <c r="DJ45" s="255">
        <v>84140</v>
      </c>
    </row>
    <row r="46" spans="1:117" ht="18.75" customHeight="1" x14ac:dyDescent="0.2">
      <c r="C46" s="577"/>
      <c r="D46" s="788"/>
      <c r="E46" s="789"/>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89"/>
      <c r="AU46" s="789"/>
      <c r="AV46" s="789"/>
      <c r="AW46" s="789"/>
      <c r="AX46" s="789"/>
      <c r="AY46" s="789"/>
      <c r="AZ46" s="789"/>
      <c r="BA46" s="789"/>
      <c r="BB46" s="789"/>
      <c r="BC46" s="789"/>
      <c r="BD46" s="790"/>
      <c r="BH46" s="342"/>
      <c r="DE46" s="255">
        <v>191</v>
      </c>
      <c r="DF46" s="628" t="s">
        <v>252</v>
      </c>
      <c r="DG46" s="255">
        <v>62980</v>
      </c>
      <c r="DH46" s="255">
        <v>37700</v>
      </c>
      <c r="DI46" s="255">
        <v>33470</v>
      </c>
      <c r="DJ46" s="255">
        <v>105500</v>
      </c>
    </row>
    <row r="47" spans="1:117" ht="18" customHeight="1" x14ac:dyDescent="0.2">
      <c r="C47" s="577"/>
      <c r="D47" s="788"/>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789"/>
      <c r="AO47" s="789"/>
      <c r="AP47" s="789"/>
      <c r="AQ47" s="789"/>
      <c r="AR47" s="789"/>
      <c r="AS47" s="789"/>
      <c r="AT47" s="789"/>
      <c r="AU47" s="789"/>
      <c r="AV47" s="789"/>
      <c r="AW47" s="789"/>
      <c r="AX47" s="789"/>
      <c r="AY47" s="789"/>
      <c r="AZ47" s="789"/>
      <c r="BA47" s="789"/>
      <c r="BB47" s="789"/>
      <c r="BC47" s="789"/>
      <c r="BD47" s="790"/>
      <c r="BF47" s="342"/>
      <c r="BG47" s="342"/>
      <c r="BH47" s="342"/>
      <c r="DE47" s="255">
        <v>192</v>
      </c>
      <c r="DF47" s="628" t="s">
        <v>253</v>
      </c>
      <c r="DG47" s="255">
        <v>146700</v>
      </c>
      <c r="DH47" s="255">
        <v>38120</v>
      </c>
      <c r="DI47" s="255">
        <v>0</v>
      </c>
      <c r="DJ47" s="255">
        <v>38120</v>
      </c>
    </row>
    <row r="48" spans="1:117" ht="18" customHeight="1" x14ac:dyDescent="0.2">
      <c r="C48" s="577"/>
      <c r="D48" s="788"/>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89"/>
      <c r="BD48" s="790"/>
      <c r="DE48" s="255">
        <v>196</v>
      </c>
      <c r="DF48" s="628" t="s">
        <v>254</v>
      </c>
      <c r="DG48" s="255">
        <v>4606</v>
      </c>
      <c r="DH48" s="255">
        <v>780</v>
      </c>
      <c r="DI48" s="255">
        <v>0</v>
      </c>
      <c r="DJ48" s="255">
        <v>780</v>
      </c>
    </row>
    <row r="49" spans="3:114" ht="18.75" customHeight="1" x14ac:dyDescent="0.2">
      <c r="C49" s="577"/>
      <c r="D49" s="788"/>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89"/>
      <c r="AY49" s="789"/>
      <c r="AZ49" s="789"/>
      <c r="BA49" s="789"/>
      <c r="BB49" s="789"/>
      <c r="BC49" s="789"/>
      <c r="BD49" s="790"/>
      <c r="DE49" s="255">
        <v>408</v>
      </c>
      <c r="DF49" s="628" t="s">
        <v>98</v>
      </c>
      <c r="DG49" s="255">
        <v>127000</v>
      </c>
      <c r="DH49" s="255">
        <v>67000</v>
      </c>
      <c r="DI49" s="255">
        <v>0</v>
      </c>
      <c r="DJ49" s="255">
        <v>77150</v>
      </c>
    </row>
    <row r="50" spans="3:114" ht="20.25" customHeight="1" x14ac:dyDescent="0.2">
      <c r="C50" s="577"/>
      <c r="D50" s="788"/>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90"/>
      <c r="DE50" s="255">
        <v>180</v>
      </c>
      <c r="DF50" s="628" t="s">
        <v>99</v>
      </c>
      <c r="DG50" s="255">
        <v>3618000</v>
      </c>
      <c r="DH50" s="255">
        <v>900000</v>
      </c>
      <c r="DI50" s="255">
        <v>383000</v>
      </c>
      <c r="DJ50" s="255">
        <v>1283000</v>
      </c>
    </row>
    <row r="51" spans="3:114" ht="18" customHeight="1" x14ac:dyDescent="0.2">
      <c r="C51" s="577"/>
      <c r="D51" s="788"/>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89"/>
      <c r="AY51" s="789"/>
      <c r="AZ51" s="789"/>
      <c r="BA51" s="789"/>
      <c r="BB51" s="789"/>
      <c r="BC51" s="789"/>
      <c r="BD51" s="790"/>
      <c r="DE51" s="255">
        <v>262</v>
      </c>
      <c r="DF51" s="628" t="s">
        <v>255</v>
      </c>
      <c r="DG51" s="255">
        <v>5104</v>
      </c>
      <c r="DH51" s="255">
        <v>300</v>
      </c>
      <c r="DI51" s="255">
        <v>0</v>
      </c>
      <c r="DJ51" s="255">
        <v>300</v>
      </c>
    </row>
    <row r="52" spans="3:114" ht="18" customHeight="1" x14ac:dyDescent="0.2">
      <c r="C52" s="577"/>
      <c r="D52" s="788"/>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89"/>
      <c r="BC52" s="789"/>
      <c r="BD52" s="790"/>
      <c r="DE52" s="255">
        <v>212</v>
      </c>
      <c r="DF52" s="628" t="s">
        <v>256</v>
      </c>
      <c r="DG52" s="255">
        <v>1562</v>
      </c>
      <c r="DH52" s="255">
        <v>200</v>
      </c>
      <c r="DI52" s="255">
        <v>0</v>
      </c>
      <c r="DJ52" s="255">
        <v>200</v>
      </c>
    </row>
    <row r="53" spans="3:114" ht="18" customHeight="1" x14ac:dyDescent="0.2">
      <c r="C53" s="577"/>
      <c r="D53" s="788"/>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89"/>
      <c r="BC53" s="789"/>
      <c r="BD53" s="790"/>
      <c r="DE53" s="255">
        <v>214</v>
      </c>
      <c r="DF53" s="628" t="s">
        <v>257</v>
      </c>
      <c r="DG53" s="255">
        <v>68620</v>
      </c>
      <c r="DH53" s="255">
        <v>23500</v>
      </c>
      <c r="DI53" s="255">
        <v>0</v>
      </c>
      <c r="DJ53" s="255">
        <v>23500</v>
      </c>
    </row>
    <row r="54" spans="3:114" ht="18.75" customHeight="1" x14ac:dyDescent="0.2">
      <c r="C54" s="577"/>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89"/>
      <c r="BC54" s="789"/>
      <c r="BD54" s="790"/>
      <c r="DE54" s="255">
        <v>218</v>
      </c>
      <c r="DF54" s="628" t="s">
        <v>258</v>
      </c>
      <c r="DG54" s="255">
        <v>583000</v>
      </c>
      <c r="DH54" s="255">
        <v>442400</v>
      </c>
      <c r="DI54" s="255">
        <v>0</v>
      </c>
      <c r="DJ54" s="255">
        <v>442400</v>
      </c>
    </row>
    <row r="55" spans="3:114" ht="18" customHeight="1" x14ac:dyDescent="0.2">
      <c r="C55" s="577"/>
      <c r="D55" s="788"/>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89"/>
      <c r="BC55" s="789"/>
      <c r="BD55" s="790"/>
      <c r="DE55" s="255">
        <v>818</v>
      </c>
      <c r="DF55" s="628" t="s">
        <v>259</v>
      </c>
      <c r="DG55" s="255">
        <v>51070</v>
      </c>
      <c r="DH55" s="255">
        <v>1800</v>
      </c>
      <c r="DI55" s="255">
        <v>84000</v>
      </c>
      <c r="DJ55" s="255">
        <v>58300</v>
      </c>
    </row>
    <row r="56" spans="3:114" ht="18" customHeight="1" x14ac:dyDescent="0.2">
      <c r="C56" s="577"/>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89"/>
      <c r="BD56" s="790"/>
      <c r="DE56" s="255">
        <v>222</v>
      </c>
      <c r="DF56" s="628" t="s">
        <v>260</v>
      </c>
      <c r="DG56" s="255">
        <v>37540</v>
      </c>
      <c r="DH56" s="255">
        <v>15630</v>
      </c>
      <c r="DI56" s="255">
        <v>10640</v>
      </c>
      <c r="DJ56" s="255">
        <v>26270</v>
      </c>
    </row>
    <row r="57" spans="3:114" ht="18" customHeight="1" x14ac:dyDescent="0.2">
      <c r="C57" s="577"/>
      <c r="D57" s="788"/>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89"/>
      <c r="BC57" s="789"/>
      <c r="BD57" s="790"/>
      <c r="DE57" s="255">
        <v>226</v>
      </c>
      <c r="DF57" s="628" t="s">
        <v>261</v>
      </c>
      <c r="DG57" s="255">
        <v>60480</v>
      </c>
      <c r="DH57" s="255">
        <v>26000</v>
      </c>
      <c r="DI57" s="255">
        <v>0</v>
      </c>
      <c r="DJ57" s="255">
        <v>26000</v>
      </c>
    </row>
    <row r="58" spans="3:114" ht="16.5" customHeight="1" x14ac:dyDescent="0.2">
      <c r="C58" s="578"/>
      <c r="D58" s="793"/>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4"/>
      <c r="AY58" s="794"/>
      <c r="AZ58" s="794"/>
      <c r="BA58" s="794"/>
      <c r="BB58" s="794"/>
      <c r="BC58" s="794"/>
      <c r="BD58" s="795"/>
      <c r="DE58" s="255">
        <v>232</v>
      </c>
      <c r="DF58" s="628" t="s">
        <v>262</v>
      </c>
      <c r="DG58" s="255">
        <v>45160</v>
      </c>
      <c r="DH58" s="255">
        <v>2800</v>
      </c>
      <c r="DI58" s="255">
        <v>700</v>
      </c>
      <c r="DJ58" s="255">
        <v>7315</v>
      </c>
    </row>
    <row r="59" spans="3:114" x14ac:dyDescent="0.2">
      <c r="C59" s="791"/>
      <c r="D59" s="792"/>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343"/>
      <c r="AQ59" s="343"/>
      <c r="AR59" s="343"/>
      <c r="AS59" s="343"/>
      <c r="DE59" s="255">
        <v>231</v>
      </c>
      <c r="DF59" s="628" t="s">
        <v>263</v>
      </c>
      <c r="DG59" s="255">
        <v>936400</v>
      </c>
      <c r="DH59" s="255">
        <v>122000</v>
      </c>
      <c r="DI59" s="255">
        <v>0</v>
      </c>
      <c r="DJ59" s="255">
        <v>122000</v>
      </c>
    </row>
    <row r="60" spans="3:114" x14ac:dyDescent="0.2">
      <c r="C60" s="792"/>
      <c r="D60" s="792"/>
      <c r="E60" s="792"/>
      <c r="F60" s="792"/>
      <c r="G60" s="792"/>
      <c r="H60" s="792"/>
      <c r="I60" s="792"/>
      <c r="J60" s="792"/>
      <c r="K60" s="792"/>
      <c r="L60" s="792"/>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792"/>
      <c r="AO60" s="792"/>
      <c r="AP60" s="343"/>
      <c r="AQ60" s="343"/>
      <c r="AR60" s="343"/>
      <c r="AS60" s="343"/>
      <c r="DE60" s="255">
        <v>234</v>
      </c>
      <c r="DF60" s="628" t="s">
        <v>560</v>
      </c>
      <c r="DG60" s="255"/>
      <c r="DH60" s="255"/>
      <c r="DI60" s="255">
        <v>0</v>
      </c>
      <c r="DJ60" s="255"/>
    </row>
    <row r="61" spans="3:114" x14ac:dyDescent="0.2">
      <c r="DE61" s="255">
        <v>242</v>
      </c>
      <c r="DF61" s="628" t="s">
        <v>264</v>
      </c>
      <c r="DG61" s="255">
        <v>47360</v>
      </c>
      <c r="DH61" s="255">
        <v>28550</v>
      </c>
      <c r="DI61" s="255">
        <v>0</v>
      </c>
      <c r="DJ61" s="255">
        <v>28550</v>
      </c>
    </row>
    <row r="62" spans="3:114" x14ac:dyDescent="0.2">
      <c r="DE62" s="255">
        <v>254</v>
      </c>
      <c r="DF62" s="628" t="s">
        <v>265</v>
      </c>
      <c r="DG62" s="255"/>
      <c r="DH62" s="255"/>
      <c r="DI62" s="255"/>
      <c r="DJ62" s="255"/>
    </row>
    <row r="63" spans="3:114" x14ac:dyDescent="0.2">
      <c r="DE63" s="255">
        <v>266</v>
      </c>
      <c r="DF63" s="628" t="s">
        <v>266</v>
      </c>
      <c r="DG63" s="255">
        <v>490100</v>
      </c>
      <c r="DH63" s="255">
        <v>164000</v>
      </c>
      <c r="DI63" s="255">
        <v>2000</v>
      </c>
      <c r="DJ63" s="255">
        <v>166000</v>
      </c>
    </row>
    <row r="64" spans="3:114" x14ac:dyDescent="0.2">
      <c r="DE64" s="255">
        <v>270</v>
      </c>
      <c r="DF64" s="628" t="s">
        <v>267</v>
      </c>
      <c r="DG64" s="255">
        <v>9447</v>
      </c>
      <c r="DH64" s="255">
        <v>3000</v>
      </c>
      <c r="DI64" s="255">
        <v>5000</v>
      </c>
      <c r="DJ64" s="255">
        <v>8000</v>
      </c>
    </row>
    <row r="65" spans="109:114" x14ac:dyDescent="0.2">
      <c r="DE65" s="255">
        <v>268</v>
      </c>
      <c r="DF65" s="628" t="s">
        <v>268</v>
      </c>
      <c r="DG65" s="255">
        <v>71510</v>
      </c>
      <c r="DH65" s="255">
        <v>58130</v>
      </c>
      <c r="DI65" s="255">
        <v>8350</v>
      </c>
      <c r="DJ65" s="255">
        <v>63330</v>
      </c>
    </row>
    <row r="66" spans="109:114" x14ac:dyDescent="0.2">
      <c r="DE66" s="255">
        <v>288</v>
      </c>
      <c r="DF66" s="628" t="s">
        <v>269</v>
      </c>
      <c r="DG66" s="255">
        <v>283100</v>
      </c>
      <c r="DH66" s="255">
        <v>30300</v>
      </c>
      <c r="DI66" s="255">
        <v>25900</v>
      </c>
      <c r="DJ66" s="255">
        <v>56200</v>
      </c>
    </row>
    <row r="67" spans="109:114" x14ac:dyDescent="0.2">
      <c r="DE67" s="255">
        <v>304</v>
      </c>
      <c r="DF67" s="628" t="s">
        <v>270</v>
      </c>
      <c r="DG67" s="255"/>
      <c r="DH67" s="255"/>
      <c r="DI67" s="255"/>
      <c r="DJ67" s="255"/>
    </row>
    <row r="68" spans="109:114" x14ac:dyDescent="0.2">
      <c r="DE68" s="255">
        <v>308</v>
      </c>
      <c r="DF68" s="628" t="s">
        <v>271</v>
      </c>
      <c r="DG68" s="255">
        <v>799</v>
      </c>
      <c r="DH68" s="255">
        <v>200</v>
      </c>
      <c r="DI68" s="255">
        <v>0</v>
      </c>
      <c r="DJ68" s="255">
        <v>200</v>
      </c>
    </row>
    <row r="69" spans="109:114" x14ac:dyDescent="0.2">
      <c r="DE69" s="255">
        <v>312</v>
      </c>
      <c r="DF69" s="628" t="s">
        <v>272</v>
      </c>
      <c r="DG69" s="255"/>
      <c r="DH69" s="255"/>
      <c r="DI69" s="255"/>
      <c r="DJ69" s="255"/>
    </row>
    <row r="70" spans="109:114" x14ac:dyDescent="0.2">
      <c r="DE70" s="255">
        <v>320</v>
      </c>
      <c r="DF70" s="628" t="s">
        <v>273</v>
      </c>
      <c r="DG70" s="255">
        <v>217300</v>
      </c>
      <c r="DH70" s="255">
        <v>109200</v>
      </c>
      <c r="DI70" s="255">
        <v>18710</v>
      </c>
      <c r="DJ70" s="255">
        <v>127900</v>
      </c>
    </row>
    <row r="71" spans="109:114" x14ac:dyDescent="0.2">
      <c r="DE71" s="255">
        <v>324</v>
      </c>
      <c r="DF71" s="628" t="s">
        <v>274</v>
      </c>
      <c r="DG71" s="255">
        <v>405900</v>
      </c>
      <c r="DH71" s="255">
        <v>226000</v>
      </c>
      <c r="DI71" s="255">
        <v>0</v>
      </c>
      <c r="DJ71" s="255">
        <v>226000</v>
      </c>
    </row>
    <row r="72" spans="109:114" x14ac:dyDescent="0.2">
      <c r="DE72" s="255">
        <v>624</v>
      </c>
      <c r="DF72" s="628" t="s">
        <v>275</v>
      </c>
      <c r="DG72" s="255">
        <v>56980</v>
      </c>
      <c r="DH72" s="255">
        <v>16000</v>
      </c>
      <c r="DI72" s="255">
        <v>15400</v>
      </c>
      <c r="DJ72" s="255">
        <v>31400</v>
      </c>
    </row>
    <row r="73" spans="109:114" x14ac:dyDescent="0.2">
      <c r="DE73" s="255">
        <v>328</v>
      </c>
      <c r="DF73" s="628" t="s">
        <v>280</v>
      </c>
      <c r="DG73" s="255">
        <v>513100</v>
      </c>
      <c r="DH73" s="255">
        <v>241000</v>
      </c>
      <c r="DI73" s="255">
        <v>30000</v>
      </c>
      <c r="DJ73" s="255">
        <v>271000</v>
      </c>
    </row>
    <row r="74" spans="109:114" x14ac:dyDescent="0.2">
      <c r="DE74" s="255">
        <v>332</v>
      </c>
      <c r="DF74" s="628" t="s">
        <v>281</v>
      </c>
      <c r="DG74" s="255">
        <v>39960</v>
      </c>
      <c r="DH74" s="255">
        <v>13010</v>
      </c>
      <c r="DI74" s="255">
        <v>1014.9999999999999</v>
      </c>
      <c r="DJ74" s="255">
        <v>14030</v>
      </c>
    </row>
    <row r="75" spans="109:114" x14ac:dyDescent="0.2">
      <c r="DE75" s="255">
        <v>336</v>
      </c>
      <c r="DF75" s="628" t="s">
        <v>561</v>
      </c>
      <c r="DG75" s="255"/>
      <c r="DH75" s="255"/>
      <c r="DI75" s="255"/>
      <c r="DJ75" s="255"/>
    </row>
    <row r="76" spans="109:114" x14ac:dyDescent="0.2">
      <c r="DE76" s="255">
        <v>340</v>
      </c>
      <c r="DF76" s="628" t="s">
        <v>282</v>
      </c>
      <c r="DG76" s="255">
        <v>222300</v>
      </c>
      <c r="DH76" s="255">
        <v>90660</v>
      </c>
      <c r="DI76" s="255">
        <v>1504</v>
      </c>
      <c r="DJ76" s="255">
        <v>92160</v>
      </c>
    </row>
    <row r="77" spans="109:114" x14ac:dyDescent="0.2">
      <c r="DE77" s="255">
        <v>356</v>
      </c>
      <c r="DF77" s="628" t="s">
        <v>283</v>
      </c>
      <c r="DG77" s="255">
        <v>3560000</v>
      </c>
      <c r="DH77" s="255">
        <v>1446000</v>
      </c>
      <c r="DI77" s="255">
        <v>635200</v>
      </c>
      <c r="DJ77" s="255">
        <v>1911000</v>
      </c>
    </row>
    <row r="78" spans="109:114" x14ac:dyDescent="0.2">
      <c r="DE78" s="255">
        <v>360</v>
      </c>
      <c r="DF78" s="628" t="s">
        <v>284</v>
      </c>
      <c r="DG78" s="255">
        <v>5163000</v>
      </c>
      <c r="DH78" s="255">
        <v>2019000</v>
      </c>
      <c r="DI78" s="255">
        <v>0</v>
      </c>
      <c r="DJ78" s="255">
        <v>2019000</v>
      </c>
    </row>
    <row r="79" spans="109:114" x14ac:dyDescent="0.2">
      <c r="DE79" s="255">
        <v>364</v>
      </c>
      <c r="DF79" s="628" t="s">
        <v>285</v>
      </c>
      <c r="DG79" s="255">
        <v>397900</v>
      </c>
      <c r="DH79" s="255">
        <v>128500</v>
      </c>
      <c r="DI79" s="255">
        <v>7770</v>
      </c>
      <c r="DJ79" s="255">
        <v>137000</v>
      </c>
    </row>
    <row r="80" spans="109:114" x14ac:dyDescent="0.2">
      <c r="DE80" s="255">
        <v>368</v>
      </c>
      <c r="DF80" s="628" t="s">
        <v>286</v>
      </c>
      <c r="DG80" s="255">
        <v>93970</v>
      </c>
      <c r="DH80" s="255">
        <v>35200</v>
      </c>
      <c r="DI80" s="255">
        <v>61330</v>
      </c>
      <c r="DJ80" s="255">
        <v>89860</v>
      </c>
    </row>
    <row r="81" spans="109:114" x14ac:dyDescent="0.2">
      <c r="DE81" s="255">
        <v>376</v>
      </c>
      <c r="DF81" s="628" t="s">
        <v>287</v>
      </c>
      <c r="DG81" s="255">
        <v>9600</v>
      </c>
      <c r="DH81" s="255">
        <v>750</v>
      </c>
      <c r="DI81" s="255">
        <v>305</v>
      </c>
      <c r="DJ81" s="255">
        <v>1780</v>
      </c>
    </row>
    <row r="82" spans="109:114" x14ac:dyDescent="0.2">
      <c r="DE82" s="255">
        <v>388</v>
      </c>
      <c r="DF82" s="628" t="s">
        <v>288</v>
      </c>
      <c r="DG82" s="255">
        <v>22540</v>
      </c>
      <c r="DH82" s="255">
        <v>10820</v>
      </c>
      <c r="DI82" s="255">
        <v>0</v>
      </c>
      <c r="DJ82" s="255">
        <v>10820</v>
      </c>
    </row>
    <row r="83" spans="109:114" x14ac:dyDescent="0.2">
      <c r="DE83" s="255">
        <v>400</v>
      </c>
      <c r="DF83" s="628" t="s">
        <v>289</v>
      </c>
      <c r="DG83" s="255">
        <v>9915</v>
      </c>
      <c r="DH83" s="255">
        <v>682</v>
      </c>
      <c r="DI83" s="255">
        <v>400</v>
      </c>
      <c r="DJ83" s="255">
        <v>937</v>
      </c>
    </row>
    <row r="84" spans="109:114" x14ac:dyDescent="0.2">
      <c r="DE84" s="255">
        <v>398</v>
      </c>
      <c r="DF84" s="628" t="s">
        <v>290</v>
      </c>
      <c r="DG84" s="255">
        <v>681200</v>
      </c>
      <c r="DH84" s="255">
        <v>64349.999999999993</v>
      </c>
      <c r="DI84" s="255">
        <v>72040</v>
      </c>
      <c r="DJ84" s="255">
        <v>108400</v>
      </c>
    </row>
    <row r="85" spans="109:114" x14ac:dyDescent="0.2">
      <c r="DE85" s="255">
        <v>404</v>
      </c>
      <c r="DF85" s="628" t="s">
        <v>291</v>
      </c>
      <c r="DG85" s="255">
        <v>365600</v>
      </c>
      <c r="DH85" s="255">
        <v>20700</v>
      </c>
      <c r="DI85" s="255">
        <v>10000</v>
      </c>
      <c r="DJ85" s="255">
        <v>30700</v>
      </c>
    </row>
    <row r="86" spans="109:114" x14ac:dyDescent="0.2">
      <c r="DE86" s="255">
        <v>296</v>
      </c>
      <c r="DF86" s="628" t="s">
        <v>100</v>
      </c>
      <c r="DG86" s="255"/>
      <c r="DH86" s="255"/>
      <c r="DI86" s="255">
        <v>0</v>
      </c>
      <c r="DJ86" s="255"/>
    </row>
    <row r="87" spans="109:114" x14ac:dyDescent="0.2">
      <c r="DE87" s="255">
        <v>414</v>
      </c>
      <c r="DF87" s="628" t="s">
        <v>292</v>
      </c>
      <c r="DG87" s="255">
        <v>2156</v>
      </c>
      <c r="DH87" s="255">
        <v>0</v>
      </c>
      <c r="DI87" s="255">
        <v>0</v>
      </c>
      <c r="DJ87" s="255">
        <v>20</v>
      </c>
    </row>
    <row r="88" spans="109:114" x14ac:dyDescent="0.2">
      <c r="DE88" s="255">
        <v>417</v>
      </c>
      <c r="DF88" s="628" t="s">
        <v>293</v>
      </c>
      <c r="DG88" s="255">
        <v>106600</v>
      </c>
      <c r="DH88" s="255">
        <v>48930</v>
      </c>
      <c r="DI88" s="255">
        <v>558</v>
      </c>
      <c r="DJ88" s="255">
        <v>23620</v>
      </c>
    </row>
    <row r="89" spans="109:114" x14ac:dyDescent="0.2">
      <c r="DE89" s="255">
        <v>418</v>
      </c>
      <c r="DF89" s="628" t="s">
        <v>101</v>
      </c>
      <c r="DG89" s="255">
        <v>434300</v>
      </c>
      <c r="DH89" s="255">
        <v>190400</v>
      </c>
      <c r="DI89" s="255">
        <v>143100</v>
      </c>
      <c r="DJ89" s="255">
        <v>333500</v>
      </c>
    </row>
    <row r="90" spans="109:114" x14ac:dyDescent="0.2">
      <c r="DE90" s="255">
        <v>428</v>
      </c>
      <c r="DF90" s="628" t="s">
        <v>294</v>
      </c>
      <c r="DG90" s="255">
        <v>43010</v>
      </c>
      <c r="DH90" s="255">
        <v>16940</v>
      </c>
      <c r="DI90" s="255">
        <v>18000</v>
      </c>
      <c r="DJ90" s="255">
        <v>34940</v>
      </c>
    </row>
    <row r="91" spans="109:114" x14ac:dyDescent="0.2">
      <c r="DE91" s="255">
        <v>422</v>
      </c>
      <c r="DF91" s="628" t="s">
        <v>295</v>
      </c>
      <c r="DG91" s="255">
        <v>6907</v>
      </c>
      <c r="DH91" s="255">
        <v>4800</v>
      </c>
      <c r="DI91" s="255">
        <v>0</v>
      </c>
      <c r="DJ91" s="255">
        <v>4503</v>
      </c>
    </row>
    <row r="92" spans="109:114" x14ac:dyDescent="0.2">
      <c r="DE92" s="255">
        <v>426</v>
      </c>
      <c r="DF92" s="628" t="s">
        <v>296</v>
      </c>
      <c r="DG92" s="255">
        <v>23920</v>
      </c>
      <c r="DH92" s="255">
        <v>5230</v>
      </c>
      <c r="DI92" s="255">
        <v>0</v>
      </c>
      <c r="DJ92" s="255">
        <v>3022</v>
      </c>
    </row>
    <row r="93" spans="109:114" x14ac:dyDescent="0.2">
      <c r="DE93" s="255">
        <v>430</v>
      </c>
      <c r="DF93" s="628" t="s">
        <v>297</v>
      </c>
      <c r="DG93" s="255">
        <v>266300</v>
      </c>
      <c r="DH93" s="255">
        <v>200000</v>
      </c>
      <c r="DI93" s="255">
        <v>32000</v>
      </c>
      <c r="DJ93" s="255">
        <v>232000</v>
      </c>
    </row>
    <row r="94" spans="109:114" x14ac:dyDescent="0.2">
      <c r="DE94" s="255">
        <v>434</v>
      </c>
      <c r="DF94" s="628" t="s">
        <v>102</v>
      </c>
      <c r="DG94" s="255">
        <v>98530</v>
      </c>
      <c r="DH94" s="255">
        <v>700</v>
      </c>
      <c r="DI94" s="255">
        <v>0</v>
      </c>
      <c r="DJ94" s="255">
        <v>700</v>
      </c>
    </row>
    <row r="95" spans="109:114" x14ac:dyDescent="0.2">
      <c r="DE95" s="255">
        <v>438</v>
      </c>
      <c r="DF95" s="628" t="s">
        <v>103</v>
      </c>
      <c r="DG95" s="255"/>
      <c r="DH95" s="255"/>
      <c r="DI95" s="255"/>
      <c r="DJ95" s="255"/>
    </row>
    <row r="96" spans="109:114" x14ac:dyDescent="0.2">
      <c r="DE96" s="255">
        <v>440</v>
      </c>
      <c r="DF96" s="628" t="s">
        <v>298</v>
      </c>
      <c r="DG96" s="255">
        <v>42830</v>
      </c>
      <c r="DH96" s="255">
        <v>15460</v>
      </c>
      <c r="DI96" s="255">
        <v>9040</v>
      </c>
      <c r="DJ96" s="255">
        <v>24500</v>
      </c>
    </row>
    <row r="97" spans="109:114" x14ac:dyDescent="0.2">
      <c r="DE97" s="255">
        <v>450</v>
      </c>
      <c r="DF97" s="628" t="s">
        <v>299</v>
      </c>
      <c r="DG97" s="255">
        <v>888600</v>
      </c>
      <c r="DH97" s="255">
        <v>337000</v>
      </c>
      <c r="DI97" s="255">
        <v>0</v>
      </c>
      <c r="DJ97" s="255">
        <v>337000</v>
      </c>
    </row>
    <row r="98" spans="109:114" x14ac:dyDescent="0.2">
      <c r="DE98" s="255">
        <v>454</v>
      </c>
      <c r="DF98" s="628" t="s">
        <v>300</v>
      </c>
      <c r="DG98" s="255">
        <v>139900</v>
      </c>
      <c r="DH98" s="255">
        <v>16140</v>
      </c>
      <c r="DI98" s="255">
        <v>1000</v>
      </c>
      <c r="DJ98" s="255">
        <v>17280</v>
      </c>
    </row>
    <row r="99" spans="109:114" x14ac:dyDescent="0.2">
      <c r="DE99" s="255">
        <v>458</v>
      </c>
      <c r="DF99" s="628" t="s">
        <v>301</v>
      </c>
      <c r="DG99" s="255">
        <v>951000</v>
      </c>
      <c r="DH99" s="255">
        <v>580000</v>
      </c>
      <c r="DI99" s="255">
        <v>0</v>
      </c>
      <c r="DJ99" s="255">
        <v>580000</v>
      </c>
    </row>
    <row r="100" spans="109:114" x14ac:dyDescent="0.2">
      <c r="DE100" s="255">
        <v>462</v>
      </c>
      <c r="DF100" s="628" t="s">
        <v>302</v>
      </c>
      <c r="DG100" s="255">
        <v>591.6</v>
      </c>
      <c r="DH100" s="255">
        <v>30</v>
      </c>
      <c r="DI100" s="255">
        <v>0</v>
      </c>
      <c r="DJ100" s="255">
        <v>30</v>
      </c>
    </row>
    <row r="101" spans="109:114" x14ac:dyDescent="0.2">
      <c r="DE101" s="255">
        <v>466</v>
      </c>
      <c r="DF101" s="628" t="s">
        <v>303</v>
      </c>
      <c r="DG101" s="255">
        <v>349700</v>
      </c>
      <c r="DH101" s="255">
        <v>60000</v>
      </c>
      <c r="DI101" s="255">
        <v>60000</v>
      </c>
      <c r="DJ101" s="255">
        <v>120000</v>
      </c>
    </row>
    <row r="102" spans="109:114" x14ac:dyDescent="0.2">
      <c r="DE102" s="255">
        <v>470</v>
      </c>
      <c r="DF102" s="628" t="s">
        <v>304</v>
      </c>
      <c r="DG102" s="255">
        <v>179.2</v>
      </c>
      <c r="DH102" s="255">
        <v>50.5</v>
      </c>
      <c r="DI102" s="255">
        <v>0</v>
      </c>
      <c r="DJ102" s="255">
        <v>50.5</v>
      </c>
    </row>
    <row r="103" spans="109:114" x14ac:dyDescent="0.2">
      <c r="DE103" s="255">
        <v>584</v>
      </c>
      <c r="DF103" s="628" t="s">
        <v>104</v>
      </c>
      <c r="DG103" s="255"/>
      <c r="DH103" s="255"/>
      <c r="DI103" s="255">
        <v>0</v>
      </c>
      <c r="DJ103" s="255"/>
    </row>
    <row r="104" spans="109:114" x14ac:dyDescent="0.2">
      <c r="DE104" s="255">
        <v>474</v>
      </c>
      <c r="DF104" s="628" t="s">
        <v>305</v>
      </c>
      <c r="DG104" s="255"/>
      <c r="DH104" s="255"/>
      <c r="DI104" s="255"/>
      <c r="DJ104" s="255"/>
    </row>
    <row r="105" spans="109:114" x14ac:dyDescent="0.2">
      <c r="DE105" s="255">
        <v>478</v>
      </c>
      <c r="DF105" s="628" t="s">
        <v>306</v>
      </c>
      <c r="DG105" s="255">
        <v>94820</v>
      </c>
      <c r="DH105" s="255">
        <v>400</v>
      </c>
      <c r="DI105" s="255">
        <v>0</v>
      </c>
      <c r="DJ105" s="255">
        <v>11400</v>
      </c>
    </row>
    <row r="106" spans="109:114" x14ac:dyDescent="0.2">
      <c r="DE106" s="255">
        <v>480</v>
      </c>
      <c r="DF106" s="628" t="s">
        <v>307</v>
      </c>
      <c r="DG106" s="255">
        <v>4164</v>
      </c>
      <c r="DH106" s="255">
        <v>2751</v>
      </c>
      <c r="DI106" s="255">
        <v>0</v>
      </c>
      <c r="DJ106" s="255">
        <v>2751</v>
      </c>
    </row>
    <row r="107" spans="109:114" x14ac:dyDescent="0.2">
      <c r="DE107" s="255">
        <v>583</v>
      </c>
      <c r="DF107" s="628" t="s">
        <v>105</v>
      </c>
      <c r="DG107" s="255"/>
      <c r="DH107" s="255"/>
      <c r="DI107" s="255">
        <v>0</v>
      </c>
      <c r="DJ107" s="255"/>
    </row>
    <row r="108" spans="109:114" x14ac:dyDescent="0.2">
      <c r="DE108" s="255">
        <v>492</v>
      </c>
      <c r="DF108" s="628" t="s">
        <v>106</v>
      </c>
      <c r="DG108" s="255"/>
      <c r="DH108" s="255"/>
      <c r="DI108" s="255"/>
      <c r="DJ108" s="255"/>
    </row>
    <row r="109" spans="109:114" x14ac:dyDescent="0.2">
      <c r="DE109" s="255">
        <v>496</v>
      </c>
      <c r="DF109" s="628" t="s">
        <v>308</v>
      </c>
      <c r="DG109" s="255">
        <v>377000</v>
      </c>
      <c r="DH109" s="255">
        <v>34800</v>
      </c>
      <c r="DI109" s="255">
        <v>0</v>
      </c>
      <c r="DJ109" s="255">
        <v>34800</v>
      </c>
    </row>
    <row r="110" spans="109:114" x14ac:dyDescent="0.2">
      <c r="DE110" s="255">
        <v>499</v>
      </c>
      <c r="DF110" s="628" t="s">
        <v>107</v>
      </c>
      <c r="DG110" s="255"/>
      <c r="DH110" s="255"/>
      <c r="DI110" s="255"/>
      <c r="DJ110" s="255"/>
    </row>
    <row r="111" spans="109:114" x14ac:dyDescent="0.2">
      <c r="DE111" s="255">
        <v>504</v>
      </c>
      <c r="DF111" s="628" t="s">
        <v>309</v>
      </c>
      <c r="DG111" s="255">
        <v>154500</v>
      </c>
      <c r="DH111" s="255">
        <v>29000</v>
      </c>
      <c r="DI111" s="255">
        <v>0</v>
      </c>
      <c r="DJ111" s="255">
        <v>29000</v>
      </c>
    </row>
    <row r="112" spans="109:114" x14ac:dyDescent="0.2">
      <c r="DE112" s="255">
        <v>508</v>
      </c>
      <c r="DF112" s="628" t="s">
        <v>310</v>
      </c>
      <c r="DG112" s="255">
        <v>825000</v>
      </c>
      <c r="DH112" s="255">
        <v>100300</v>
      </c>
      <c r="DI112" s="255">
        <v>116800</v>
      </c>
      <c r="DJ112" s="255">
        <v>217100</v>
      </c>
    </row>
    <row r="113" spans="109:114" x14ac:dyDescent="0.2">
      <c r="DE113" s="255">
        <v>104</v>
      </c>
      <c r="DF113" s="628" t="s">
        <v>311</v>
      </c>
      <c r="DG113" s="255">
        <v>1415000</v>
      </c>
      <c r="DH113" s="255">
        <v>1003000</v>
      </c>
      <c r="DI113" s="255">
        <v>128199.99999999999</v>
      </c>
      <c r="DJ113" s="255">
        <v>1168000</v>
      </c>
    </row>
    <row r="114" spans="109:114" x14ac:dyDescent="0.2">
      <c r="DE114" s="255">
        <v>516</v>
      </c>
      <c r="DF114" s="628" t="s">
        <v>312</v>
      </c>
      <c r="DG114" s="255">
        <v>234900</v>
      </c>
      <c r="DH114" s="255">
        <v>6160</v>
      </c>
      <c r="DI114" s="255">
        <v>11000</v>
      </c>
      <c r="DJ114" s="255">
        <v>39910</v>
      </c>
    </row>
    <row r="115" spans="109:114" x14ac:dyDescent="0.2">
      <c r="DE115" s="255">
        <v>520</v>
      </c>
      <c r="DF115" s="628" t="s">
        <v>108</v>
      </c>
      <c r="DG115" s="255"/>
      <c r="DH115" s="255"/>
      <c r="DI115" s="255">
        <v>0</v>
      </c>
      <c r="DJ115" s="255"/>
    </row>
    <row r="116" spans="109:114" x14ac:dyDescent="0.2">
      <c r="DE116" s="255">
        <v>524</v>
      </c>
      <c r="DF116" s="628" t="s">
        <v>313</v>
      </c>
      <c r="DG116" s="255">
        <v>220800</v>
      </c>
      <c r="DH116" s="255">
        <v>198200</v>
      </c>
      <c r="DI116" s="255">
        <v>12000</v>
      </c>
      <c r="DJ116" s="255">
        <v>210200</v>
      </c>
    </row>
    <row r="117" spans="109:114" x14ac:dyDescent="0.2">
      <c r="DE117" s="255">
        <v>540</v>
      </c>
      <c r="DF117" s="628" t="s">
        <v>314</v>
      </c>
      <c r="DG117" s="255"/>
      <c r="DH117" s="255"/>
      <c r="DI117" s="255"/>
      <c r="DJ117" s="255"/>
    </row>
    <row r="118" spans="109:114" x14ac:dyDescent="0.2">
      <c r="DE118" s="255">
        <v>558</v>
      </c>
      <c r="DF118" s="628" t="s">
        <v>315</v>
      </c>
      <c r="DG118" s="255">
        <v>297200</v>
      </c>
      <c r="DH118" s="255">
        <v>156200</v>
      </c>
      <c r="DI118" s="255">
        <v>8310</v>
      </c>
      <c r="DJ118" s="255">
        <v>164500</v>
      </c>
    </row>
    <row r="119" spans="109:114" x14ac:dyDescent="0.2">
      <c r="DE119" s="255">
        <v>562</v>
      </c>
      <c r="DF119" s="628" t="s">
        <v>316</v>
      </c>
      <c r="DG119" s="255">
        <v>191300</v>
      </c>
      <c r="DH119" s="255">
        <v>3500</v>
      </c>
      <c r="DI119" s="255">
        <v>29200</v>
      </c>
      <c r="DJ119" s="255">
        <v>34050</v>
      </c>
    </row>
    <row r="120" spans="109:114" x14ac:dyDescent="0.2">
      <c r="DE120" s="255">
        <v>566</v>
      </c>
      <c r="DF120" s="628" t="s">
        <v>317</v>
      </c>
      <c r="DG120" s="255">
        <v>1062000</v>
      </c>
      <c r="DH120" s="255">
        <v>221000</v>
      </c>
      <c r="DI120" s="255">
        <v>65200</v>
      </c>
      <c r="DJ120" s="255">
        <v>286200</v>
      </c>
    </row>
    <row r="121" spans="109:114" x14ac:dyDescent="0.2">
      <c r="DE121" s="255">
        <v>570</v>
      </c>
      <c r="DF121" s="628" t="s">
        <v>562</v>
      </c>
      <c r="DG121" s="255"/>
      <c r="DH121" s="255"/>
      <c r="DI121" s="255">
        <v>0</v>
      </c>
      <c r="DJ121" s="255"/>
    </row>
    <row r="122" spans="109:114" x14ac:dyDescent="0.2">
      <c r="DE122" s="255">
        <v>275</v>
      </c>
      <c r="DF122" s="628" t="s">
        <v>563</v>
      </c>
      <c r="DG122" s="255">
        <v>2420</v>
      </c>
      <c r="DH122" s="255">
        <v>812</v>
      </c>
      <c r="DI122" s="255">
        <v>15</v>
      </c>
      <c r="DJ122" s="255">
        <v>837</v>
      </c>
    </row>
    <row r="123" spans="109:114" x14ac:dyDescent="0.2">
      <c r="DE123" s="255">
        <v>512</v>
      </c>
      <c r="DF123" s="628" t="s">
        <v>318</v>
      </c>
      <c r="DG123" s="255">
        <v>38690</v>
      </c>
      <c r="DH123" s="255">
        <v>1400</v>
      </c>
      <c r="DI123" s="255">
        <v>0</v>
      </c>
      <c r="DJ123" s="255">
        <v>1400</v>
      </c>
    </row>
    <row r="124" spans="109:114" x14ac:dyDescent="0.2">
      <c r="DE124" s="255">
        <v>586</v>
      </c>
      <c r="DF124" s="628" t="s">
        <v>319</v>
      </c>
      <c r="DG124" s="255">
        <v>393300</v>
      </c>
      <c r="DH124" s="255">
        <v>55000</v>
      </c>
      <c r="DI124" s="255">
        <v>265100</v>
      </c>
      <c r="DJ124" s="255">
        <v>246800</v>
      </c>
    </row>
    <row r="125" spans="109:114" x14ac:dyDescent="0.2">
      <c r="DE125" s="255">
        <v>585</v>
      </c>
      <c r="DF125" s="628" t="s">
        <v>109</v>
      </c>
      <c r="DG125" s="255"/>
      <c r="DH125" s="255"/>
      <c r="DI125" s="255">
        <v>0</v>
      </c>
      <c r="DJ125" s="255"/>
    </row>
    <row r="126" spans="109:114" x14ac:dyDescent="0.2">
      <c r="DE126" s="255">
        <v>591</v>
      </c>
      <c r="DF126" s="628" t="s">
        <v>320</v>
      </c>
      <c r="DG126" s="255">
        <v>220800</v>
      </c>
      <c r="DH126" s="255">
        <v>136600</v>
      </c>
      <c r="DI126" s="255">
        <v>0</v>
      </c>
      <c r="DJ126" s="255">
        <v>139300</v>
      </c>
    </row>
    <row r="127" spans="109:114" x14ac:dyDescent="0.2">
      <c r="DE127" s="255">
        <v>598</v>
      </c>
      <c r="DF127" s="628" t="s">
        <v>321</v>
      </c>
      <c r="DG127" s="255">
        <v>1454000</v>
      </c>
      <c r="DH127" s="255">
        <v>801000</v>
      </c>
      <c r="DI127" s="255">
        <v>0</v>
      </c>
      <c r="DJ127" s="255">
        <v>801000</v>
      </c>
    </row>
    <row r="128" spans="109:114" x14ac:dyDescent="0.2">
      <c r="DE128" s="255">
        <v>600</v>
      </c>
      <c r="DF128" s="628" t="s">
        <v>322</v>
      </c>
      <c r="DG128" s="255">
        <v>459600</v>
      </c>
      <c r="DH128" s="255">
        <v>117000</v>
      </c>
      <c r="DI128" s="255">
        <v>73270</v>
      </c>
      <c r="DJ128" s="255">
        <v>387800</v>
      </c>
    </row>
    <row r="129" spans="109:114" x14ac:dyDescent="0.2">
      <c r="DE129" s="255">
        <v>604</v>
      </c>
      <c r="DF129" s="628" t="s">
        <v>323</v>
      </c>
      <c r="DG129" s="255">
        <v>2234000</v>
      </c>
      <c r="DH129" s="255">
        <v>1641000</v>
      </c>
      <c r="DI129" s="255">
        <v>128800.00000000001</v>
      </c>
      <c r="DJ129" s="255">
        <v>1880000</v>
      </c>
    </row>
    <row r="130" spans="109:114" x14ac:dyDescent="0.2">
      <c r="DE130" s="255">
        <v>608</v>
      </c>
      <c r="DF130" s="628" t="s">
        <v>324</v>
      </c>
      <c r="DG130" s="255">
        <v>704400</v>
      </c>
      <c r="DH130" s="255">
        <v>479000</v>
      </c>
      <c r="DI130" s="255">
        <v>0</v>
      </c>
      <c r="DJ130" s="255">
        <v>479000</v>
      </c>
    </row>
    <row r="131" spans="109:114" x14ac:dyDescent="0.2">
      <c r="DE131" s="255">
        <v>630</v>
      </c>
      <c r="DF131" s="628" t="s">
        <v>325</v>
      </c>
      <c r="DG131" s="255">
        <v>18220</v>
      </c>
      <c r="DH131" s="255">
        <v>7100</v>
      </c>
      <c r="DI131" s="255">
        <v>0</v>
      </c>
      <c r="DJ131" s="255">
        <v>7100</v>
      </c>
    </row>
    <row r="132" spans="109:114" x14ac:dyDescent="0.2">
      <c r="DE132" s="255">
        <v>634</v>
      </c>
      <c r="DF132" s="628" t="s">
        <v>326</v>
      </c>
      <c r="DG132" s="255">
        <v>859.1</v>
      </c>
      <c r="DH132" s="255">
        <v>56</v>
      </c>
      <c r="DI132" s="255">
        <v>0</v>
      </c>
      <c r="DJ132" s="255">
        <v>58</v>
      </c>
    </row>
    <row r="133" spans="109:114" x14ac:dyDescent="0.2">
      <c r="DE133" s="255">
        <v>498</v>
      </c>
      <c r="DF133" s="628" t="s">
        <v>327</v>
      </c>
      <c r="DG133" s="255">
        <v>15230</v>
      </c>
      <c r="DH133" s="255">
        <v>1620</v>
      </c>
      <c r="DI133" s="255">
        <v>9200</v>
      </c>
      <c r="DJ133" s="255">
        <v>12270</v>
      </c>
    </row>
    <row r="134" spans="109:114" x14ac:dyDescent="0.2">
      <c r="DE134" s="255">
        <v>638</v>
      </c>
      <c r="DF134" s="628" t="s">
        <v>328</v>
      </c>
      <c r="DG134" s="255"/>
      <c r="DH134" s="255"/>
      <c r="DI134" s="255"/>
      <c r="DJ134" s="255"/>
    </row>
    <row r="135" spans="109:114" x14ac:dyDescent="0.2">
      <c r="DE135" s="255">
        <v>642</v>
      </c>
      <c r="DF135" s="628" t="s">
        <v>329</v>
      </c>
      <c r="DG135" s="255">
        <v>151900</v>
      </c>
      <c r="DH135" s="255">
        <v>42380</v>
      </c>
      <c r="DI135" s="255">
        <v>168100</v>
      </c>
      <c r="DJ135" s="255">
        <v>212000</v>
      </c>
    </row>
    <row r="136" spans="109:114" x14ac:dyDescent="0.2">
      <c r="DE136" s="255">
        <v>643</v>
      </c>
      <c r="DF136" s="628" t="s">
        <v>332</v>
      </c>
      <c r="DG136" s="255">
        <v>7865000</v>
      </c>
      <c r="DH136" s="255">
        <v>4312000</v>
      </c>
      <c r="DI136" s="255">
        <v>204600</v>
      </c>
      <c r="DJ136" s="255">
        <v>4525000</v>
      </c>
    </row>
    <row r="137" spans="109:114" x14ac:dyDescent="0.2">
      <c r="DE137" s="255">
        <v>646</v>
      </c>
      <c r="DF137" s="628" t="s">
        <v>333</v>
      </c>
      <c r="DG137" s="255">
        <v>31920</v>
      </c>
      <c r="DH137" s="255">
        <v>9500</v>
      </c>
      <c r="DI137" s="255">
        <v>3800</v>
      </c>
      <c r="DJ137" s="255">
        <v>13300</v>
      </c>
    </row>
    <row r="138" spans="109:114" x14ac:dyDescent="0.2">
      <c r="DE138" s="255">
        <v>654</v>
      </c>
      <c r="DF138" s="628" t="s">
        <v>334</v>
      </c>
      <c r="DG138" s="255"/>
      <c r="DH138" s="255"/>
      <c r="DI138" s="255"/>
      <c r="DJ138" s="255"/>
    </row>
    <row r="139" spans="109:114" x14ac:dyDescent="0.2">
      <c r="DE139" s="255">
        <v>659</v>
      </c>
      <c r="DF139" s="628" t="s">
        <v>335</v>
      </c>
      <c r="DG139" s="255">
        <v>371</v>
      </c>
      <c r="DH139" s="255">
        <v>24</v>
      </c>
      <c r="DI139" s="255">
        <v>0</v>
      </c>
      <c r="DJ139" s="255">
        <v>24</v>
      </c>
    </row>
    <row r="140" spans="109:114" x14ac:dyDescent="0.2">
      <c r="DE140" s="255">
        <v>662</v>
      </c>
      <c r="DF140" s="628" t="s">
        <v>336</v>
      </c>
      <c r="DG140" s="255">
        <v>1427</v>
      </c>
      <c r="DH140" s="255">
        <v>300</v>
      </c>
      <c r="DI140" s="255">
        <v>0</v>
      </c>
      <c r="DJ140" s="255">
        <v>300</v>
      </c>
    </row>
    <row r="141" spans="109:114" x14ac:dyDescent="0.2">
      <c r="DE141" s="255">
        <v>670</v>
      </c>
      <c r="DF141" s="628" t="s">
        <v>110</v>
      </c>
      <c r="DG141" s="255">
        <v>617.4</v>
      </c>
      <c r="DH141" s="255">
        <v>100</v>
      </c>
      <c r="DI141" s="255">
        <v>0</v>
      </c>
      <c r="DJ141" s="255">
        <v>100</v>
      </c>
    </row>
    <row r="142" spans="109:114" x14ac:dyDescent="0.2">
      <c r="DE142" s="255">
        <v>882</v>
      </c>
      <c r="DF142" s="628" t="s">
        <v>337</v>
      </c>
      <c r="DG142" s="255">
        <v>8179</v>
      </c>
      <c r="DH142" s="255"/>
      <c r="DI142" s="255">
        <v>0</v>
      </c>
      <c r="DJ142" s="255"/>
    </row>
    <row r="143" spans="109:114" x14ac:dyDescent="0.2">
      <c r="DE143" s="255">
        <v>674</v>
      </c>
      <c r="DF143" s="628" t="s">
        <v>111</v>
      </c>
      <c r="DG143" s="255"/>
      <c r="DH143" s="255"/>
      <c r="DI143" s="255"/>
      <c r="DJ143" s="255"/>
    </row>
    <row r="144" spans="109:114" x14ac:dyDescent="0.2">
      <c r="DE144" s="255">
        <v>678</v>
      </c>
      <c r="DF144" s="628" t="s">
        <v>338</v>
      </c>
      <c r="DG144" s="255">
        <v>3072</v>
      </c>
      <c r="DH144" s="255">
        <v>2180</v>
      </c>
      <c r="DI144" s="255">
        <v>0</v>
      </c>
      <c r="DJ144" s="255">
        <v>2180</v>
      </c>
    </row>
    <row r="145" spans="109:114" x14ac:dyDescent="0.2">
      <c r="DE145" s="255">
        <v>682</v>
      </c>
      <c r="DF145" s="628" t="s">
        <v>339</v>
      </c>
      <c r="DG145" s="255">
        <v>126800</v>
      </c>
      <c r="DH145" s="255">
        <v>2400</v>
      </c>
      <c r="DI145" s="255">
        <v>0</v>
      </c>
      <c r="DJ145" s="255">
        <v>2400</v>
      </c>
    </row>
    <row r="146" spans="109:114" x14ac:dyDescent="0.2">
      <c r="DE146" s="255">
        <v>686</v>
      </c>
      <c r="DF146" s="628" t="s">
        <v>340</v>
      </c>
      <c r="DG146" s="255">
        <v>134900</v>
      </c>
      <c r="DH146" s="255">
        <v>25800</v>
      </c>
      <c r="DI146" s="255">
        <v>2170</v>
      </c>
      <c r="DJ146" s="255">
        <v>38970</v>
      </c>
    </row>
    <row r="147" spans="109:114" x14ac:dyDescent="0.2">
      <c r="DE147" s="255">
        <v>891</v>
      </c>
      <c r="DF147" s="628" t="s">
        <v>112</v>
      </c>
      <c r="DG147" s="255">
        <v>49980</v>
      </c>
      <c r="DH147" s="255">
        <v>8407</v>
      </c>
      <c r="DI147" s="255"/>
      <c r="DJ147" s="255">
        <v>162200</v>
      </c>
    </row>
    <row r="148" spans="109:114" x14ac:dyDescent="0.2">
      <c r="DE148" s="255">
        <v>690</v>
      </c>
      <c r="DF148" s="628" t="s">
        <v>341</v>
      </c>
      <c r="DG148" s="255">
        <v>1072</v>
      </c>
      <c r="DH148" s="255"/>
      <c r="DI148" s="255">
        <v>0</v>
      </c>
      <c r="DJ148" s="255"/>
    </row>
    <row r="149" spans="109:114" x14ac:dyDescent="0.2">
      <c r="DE149" s="255">
        <v>694</v>
      </c>
      <c r="DF149" s="628" t="s">
        <v>342</v>
      </c>
      <c r="DG149" s="255">
        <v>182600</v>
      </c>
      <c r="DH149" s="255">
        <v>160000</v>
      </c>
      <c r="DI149" s="255">
        <v>0</v>
      </c>
      <c r="DJ149" s="255">
        <v>160000</v>
      </c>
    </row>
    <row r="150" spans="109:114" x14ac:dyDescent="0.2">
      <c r="DE150" s="255">
        <v>702</v>
      </c>
      <c r="DF150" s="628" t="s">
        <v>343</v>
      </c>
      <c r="DG150" s="255">
        <v>1795</v>
      </c>
      <c r="DH150" s="255">
        <v>600</v>
      </c>
      <c r="DI150" s="255">
        <v>0</v>
      </c>
      <c r="DJ150" s="255">
        <v>600</v>
      </c>
    </row>
    <row r="151" spans="109:114" x14ac:dyDescent="0.2">
      <c r="DE151" s="255">
        <v>703</v>
      </c>
      <c r="DF151" s="628" t="s">
        <v>344</v>
      </c>
      <c r="DG151" s="255">
        <v>40410</v>
      </c>
      <c r="DH151" s="255">
        <v>12600</v>
      </c>
      <c r="DI151" s="255">
        <v>0</v>
      </c>
      <c r="DJ151" s="255">
        <v>50100</v>
      </c>
    </row>
    <row r="152" spans="109:114" x14ac:dyDescent="0.2">
      <c r="DE152" s="255">
        <v>90</v>
      </c>
      <c r="DF152" s="628" t="s">
        <v>345</v>
      </c>
      <c r="DG152" s="255">
        <v>87510</v>
      </c>
      <c r="DH152" s="255">
        <v>44700</v>
      </c>
      <c r="DI152" s="255">
        <v>0</v>
      </c>
      <c r="DJ152" s="255">
        <v>44700</v>
      </c>
    </row>
    <row r="153" spans="109:114" x14ac:dyDescent="0.2">
      <c r="DE153" s="255">
        <v>706</v>
      </c>
      <c r="DF153" s="628" t="s">
        <v>346</v>
      </c>
      <c r="DG153" s="255">
        <v>179800</v>
      </c>
      <c r="DH153" s="255">
        <v>6000</v>
      </c>
      <c r="DI153" s="255">
        <v>8700</v>
      </c>
      <c r="DJ153" s="255">
        <v>14700</v>
      </c>
    </row>
    <row r="154" spans="109:114" x14ac:dyDescent="0.2">
      <c r="DE154" s="255">
        <v>710</v>
      </c>
      <c r="DF154" s="628" t="s">
        <v>347</v>
      </c>
      <c r="DG154" s="255">
        <v>603400</v>
      </c>
      <c r="DH154" s="255">
        <v>44800</v>
      </c>
      <c r="DI154" s="255">
        <v>6600</v>
      </c>
      <c r="DJ154" s="255">
        <v>51350</v>
      </c>
    </row>
    <row r="155" spans="109:114" x14ac:dyDescent="0.2">
      <c r="DE155" s="344">
        <v>728</v>
      </c>
      <c r="DF155" s="628" t="s">
        <v>564</v>
      </c>
      <c r="DG155" s="255">
        <v>579900</v>
      </c>
      <c r="DH155" s="255">
        <v>26000</v>
      </c>
      <c r="DI155" s="255">
        <v>50000</v>
      </c>
      <c r="DJ155" s="255">
        <v>49500</v>
      </c>
    </row>
    <row r="156" spans="109:114" x14ac:dyDescent="0.2">
      <c r="DE156" s="255">
        <v>144</v>
      </c>
      <c r="DF156" s="628" t="s">
        <v>348</v>
      </c>
      <c r="DG156" s="255">
        <v>112300</v>
      </c>
      <c r="DH156" s="255">
        <v>52800</v>
      </c>
      <c r="DI156" s="255">
        <v>0</v>
      </c>
      <c r="DJ156" s="255">
        <v>52800</v>
      </c>
    </row>
    <row r="157" spans="109:114" x14ac:dyDescent="0.2">
      <c r="DE157" s="255">
        <v>729</v>
      </c>
      <c r="DF157" s="628" t="s">
        <v>565</v>
      </c>
      <c r="DG157" s="255">
        <v>469800</v>
      </c>
      <c r="DH157" s="255">
        <v>4000</v>
      </c>
      <c r="DI157" s="255">
        <v>99300</v>
      </c>
      <c r="DJ157" s="255">
        <v>37800</v>
      </c>
    </row>
    <row r="158" spans="109:114" x14ac:dyDescent="0.2">
      <c r="DE158" s="255">
        <v>740</v>
      </c>
      <c r="DF158" s="628" t="s">
        <v>349</v>
      </c>
      <c r="DG158" s="255">
        <v>381900</v>
      </c>
      <c r="DH158" s="255">
        <v>99000</v>
      </c>
      <c r="DI158" s="255">
        <v>0</v>
      </c>
      <c r="DJ158" s="255">
        <v>99000</v>
      </c>
    </row>
    <row r="159" spans="109:114" x14ac:dyDescent="0.2">
      <c r="DE159" s="255">
        <v>748</v>
      </c>
      <c r="DF159" s="628" t="s">
        <v>350</v>
      </c>
      <c r="DG159" s="255">
        <v>13680</v>
      </c>
      <c r="DH159" s="255">
        <v>2640</v>
      </c>
      <c r="DI159" s="255">
        <v>1870</v>
      </c>
      <c r="DJ159" s="255">
        <v>4510</v>
      </c>
    </row>
    <row r="160" spans="109:114" x14ac:dyDescent="0.2">
      <c r="DE160" s="255">
        <v>760</v>
      </c>
      <c r="DF160" s="628" t="s">
        <v>351</v>
      </c>
      <c r="DG160" s="255">
        <v>46670</v>
      </c>
      <c r="DH160" s="255">
        <v>7132</v>
      </c>
      <c r="DI160" s="255">
        <v>28520</v>
      </c>
      <c r="DJ160" s="255">
        <v>16800</v>
      </c>
    </row>
    <row r="161" spans="109:114" x14ac:dyDescent="0.2">
      <c r="DE161" s="255">
        <v>762</v>
      </c>
      <c r="DF161" s="628" t="s">
        <v>352</v>
      </c>
      <c r="DG161" s="255">
        <v>97690</v>
      </c>
      <c r="DH161" s="255">
        <v>63460</v>
      </c>
      <c r="DI161" s="255">
        <v>34190</v>
      </c>
      <c r="DJ161" s="255">
        <v>21910</v>
      </c>
    </row>
    <row r="162" spans="109:114" x14ac:dyDescent="0.2">
      <c r="DE162" s="255">
        <v>764</v>
      </c>
      <c r="DF162" s="628" t="s">
        <v>353</v>
      </c>
      <c r="DG162" s="255">
        <v>832300</v>
      </c>
      <c r="DH162" s="255">
        <v>224500</v>
      </c>
      <c r="DI162" s="255">
        <v>0</v>
      </c>
      <c r="DJ162" s="255">
        <v>438600</v>
      </c>
    </row>
    <row r="163" spans="109:114" x14ac:dyDescent="0.2">
      <c r="DE163" s="255">
        <v>807</v>
      </c>
      <c r="DF163" s="628" t="s">
        <v>113</v>
      </c>
      <c r="DG163" s="255">
        <v>15910</v>
      </c>
      <c r="DH163" s="255">
        <v>5400</v>
      </c>
      <c r="DI163" s="255">
        <v>1000</v>
      </c>
      <c r="DJ163" s="255">
        <v>6400</v>
      </c>
    </row>
    <row r="164" spans="109:114" x14ac:dyDescent="0.2">
      <c r="DE164" s="344">
        <v>626</v>
      </c>
      <c r="DF164" s="628" t="s">
        <v>114</v>
      </c>
      <c r="DG164" s="255">
        <v>22300</v>
      </c>
      <c r="DH164" s="255">
        <v>8215</v>
      </c>
      <c r="DI164" s="255">
        <v>0</v>
      </c>
      <c r="DJ164" s="255">
        <v>8215</v>
      </c>
    </row>
    <row r="165" spans="109:114" x14ac:dyDescent="0.2">
      <c r="DE165" s="255">
        <v>768</v>
      </c>
      <c r="DF165" s="628" t="s">
        <v>354</v>
      </c>
      <c r="DG165" s="255">
        <v>66330</v>
      </c>
      <c r="DH165" s="255">
        <v>11500</v>
      </c>
      <c r="DI165" s="255">
        <v>3200</v>
      </c>
      <c r="DJ165" s="255">
        <v>14700</v>
      </c>
    </row>
    <row r="166" spans="109:114" x14ac:dyDescent="0.2">
      <c r="DE166" s="255">
        <v>772</v>
      </c>
      <c r="DF166" s="629" t="s">
        <v>566</v>
      </c>
      <c r="DG166" s="625"/>
      <c r="DH166" s="625"/>
      <c r="DI166" s="255">
        <v>0</v>
      </c>
      <c r="DJ166" s="625"/>
    </row>
    <row r="167" spans="109:114" x14ac:dyDescent="0.2">
      <c r="DE167" s="255">
        <v>776</v>
      </c>
      <c r="DF167" s="629" t="s">
        <v>355</v>
      </c>
      <c r="DG167" s="625"/>
      <c r="DH167" s="625"/>
      <c r="DI167" s="255">
        <v>0</v>
      </c>
      <c r="DJ167" s="625"/>
    </row>
    <row r="168" spans="109:114" x14ac:dyDescent="0.2">
      <c r="DE168" s="255">
        <v>780</v>
      </c>
      <c r="DF168" s="628" t="s">
        <v>356</v>
      </c>
      <c r="DG168" s="255">
        <v>11290</v>
      </c>
      <c r="DH168" s="255">
        <v>3840</v>
      </c>
      <c r="DI168" s="255">
        <v>0</v>
      </c>
      <c r="DJ168" s="255">
        <v>3840</v>
      </c>
    </row>
    <row r="169" spans="109:114" x14ac:dyDescent="0.2">
      <c r="DE169" s="255">
        <v>788</v>
      </c>
      <c r="DF169" s="628" t="s">
        <v>357</v>
      </c>
      <c r="DG169" s="255">
        <v>33870</v>
      </c>
      <c r="DH169" s="255">
        <v>4195</v>
      </c>
      <c r="DI169" s="255">
        <v>320</v>
      </c>
      <c r="DJ169" s="255">
        <v>4615</v>
      </c>
    </row>
    <row r="170" spans="109:114" x14ac:dyDescent="0.2">
      <c r="DE170" s="255">
        <v>795</v>
      </c>
      <c r="DF170" s="628" t="s">
        <v>358</v>
      </c>
      <c r="DG170" s="255">
        <v>78580</v>
      </c>
      <c r="DH170" s="255">
        <v>1405</v>
      </c>
      <c r="DI170" s="255">
        <v>80200</v>
      </c>
      <c r="DJ170" s="255">
        <v>24770</v>
      </c>
    </row>
    <row r="171" spans="109:114" x14ac:dyDescent="0.2">
      <c r="DE171" s="255">
        <v>798</v>
      </c>
      <c r="DF171" s="628" t="s">
        <v>115</v>
      </c>
      <c r="DG171" s="255"/>
      <c r="DH171" s="255"/>
      <c r="DI171" s="255">
        <v>0</v>
      </c>
      <c r="DJ171" s="255"/>
    </row>
    <row r="172" spans="109:114" x14ac:dyDescent="0.2">
      <c r="DE172" s="255">
        <v>800</v>
      </c>
      <c r="DF172" s="628" t="s">
        <v>359</v>
      </c>
      <c r="DG172" s="255">
        <v>285000</v>
      </c>
      <c r="DH172" s="255">
        <v>39000</v>
      </c>
      <c r="DI172" s="255">
        <v>21100</v>
      </c>
      <c r="DJ172" s="255">
        <v>60100</v>
      </c>
    </row>
    <row r="173" spans="109:114" x14ac:dyDescent="0.2">
      <c r="DE173" s="255">
        <v>804</v>
      </c>
      <c r="DF173" s="628" t="s">
        <v>360</v>
      </c>
      <c r="DG173" s="255">
        <v>341000</v>
      </c>
      <c r="DH173" s="255">
        <v>55100</v>
      </c>
      <c r="DI173" s="255">
        <v>36130</v>
      </c>
      <c r="DJ173" s="255">
        <v>175300</v>
      </c>
    </row>
    <row r="174" spans="109:114" x14ac:dyDescent="0.2">
      <c r="DE174" s="255">
        <v>784</v>
      </c>
      <c r="DF174" s="628" t="s">
        <v>361</v>
      </c>
      <c r="DG174" s="255">
        <v>6521</v>
      </c>
      <c r="DH174" s="255">
        <v>150</v>
      </c>
      <c r="DI174" s="255">
        <v>0</v>
      </c>
      <c r="DJ174" s="255">
        <v>150</v>
      </c>
    </row>
    <row r="175" spans="109:114" x14ac:dyDescent="0.2">
      <c r="DE175" s="255">
        <v>834</v>
      </c>
      <c r="DF175" s="628" t="s">
        <v>116</v>
      </c>
      <c r="DG175" s="255">
        <v>1015000</v>
      </c>
      <c r="DH175" s="255">
        <v>84000</v>
      </c>
      <c r="DI175" s="255">
        <v>12270</v>
      </c>
      <c r="DJ175" s="255">
        <v>96270</v>
      </c>
    </row>
    <row r="176" spans="109:114" x14ac:dyDescent="0.2">
      <c r="DE176" s="255">
        <v>858</v>
      </c>
      <c r="DF176" s="628" t="s">
        <v>363</v>
      </c>
      <c r="DG176" s="255">
        <v>229100</v>
      </c>
      <c r="DH176" s="255">
        <v>92200</v>
      </c>
      <c r="DI176" s="255">
        <v>5000</v>
      </c>
      <c r="DJ176" s="255">
        <v>172200</v>
      </c>
    </row>
    <row r="177" spans="109:114" x14ac:dyDescent="0.2">
      <c r="DE177" s="255">
        <v>860</v>
      </c>
      <c r="DF177" s="628" t="s">
        <v>364</v>
      </c>
      <c r="DG177" s="255">
        <v>92160</v>
      </c>
      <c r="DH177" s="255">
        <v>16340</v>
      </c>
      <c r="DI177" s="255">
        <v>102200</v>
      </c>
      <c r="DJ177" s="255">
        <v>48870</v>
      </c>
    </row>
    <row r="178" spans="109:114" x14ac:dyDescent="0.2">
      <c r="DE178" s="255">
        <v>548</v>
      </c>
      <c r="DF178" s="628" t="s">
        <v>117</v>
      </c>
      <c r="DG178" s="255">
        <v>24380</v>
      </c>
      <c r="DH178" s="255">
        <v>10000</v>
      </c>
      <c r="DI178" s="255">
        <v>0</v>
      </c>
      <c r="DJ178" s="255">
        <v>10000</v>
      </c>
    </row>
    <row r="179" spans="109:114" x14ac:dyDescent="0.2">
      <c r="DE179" s="255">
        <v>862</v>
      </c>
      <c r="DF179" s="628" t="s">
        <v>118</v>
      </c>
      <c r="DG179" s="255">
        <v>1864000</v>
      </c>
      <c r="DH179" s="255">
        <v>805000</v>
      </c>
      <c r="DI179" s="255">
        <v>495000</v>
      </c>
      <c r="DJ179" s="255">
        <v>1325000</v>
      </c>
    </row>
    <row r="180" spans="109:114" x14ac:dyDescent="0.2">
      <c r="DE180" s="255">
        <v>704</v>
      </c>
      <c r="DF180" s="628" t="s">
        <v>365</v>
      </c>
      <c r="DG180" s="255">
        <v>602700</v>
      </c>
      <c r="DH180" s="255">
        <v>359400</v>
      </c>
      <c r="DI180" s="255">
        <v>524700</v>
      </c>
      <c r="DJ180" s="255">
        <v>884100</v>
      </c>
    </row>
    <row r="181" spans="109:114" x14ac:dyDescent="0.2">
      <c r="DE181" s="255">
        <v>887</v>
      </c>
      <c r="DF181" s="628" t="s">
        <v>366</v>
      </c>
      <c r="DG181" s="255">
        <v>88170</v>
      </c>
      <c r="DH181" s="255">
        <v>2100</v>
      </c>
      <c r="DI181" s="255">
        <v>0</v>
      </c>
      <c r="DJ181" s="255">
        <v>2100</v>
      </c>
    </row>
    <row r="182" spans="109:114" x14ac:dyDescent="0.2">
      <c r="DE182" s="255">
        <v>894</v>
      </c>
      <c r="DF182" s="628" t="s">
        <v>367</v>
      </c>
      <c r="DG182" s="255">
        <v>767700</v>
      </c>
      <c r="DH182" s="255">
        <v>80200</v>
      </c>
      <c r="DI182" s="255">
        <v>24600</v>
      </c>
      <c r="DJ182" s="255">
        <v>104800</v>
      </c>
    </row>
    <row r="183" spans="109:114" x14ac:dyDescent="0.2">
      <c r="DE183" s="255">
        <v>716</v>
      </c>
      <c r="DF183" s="628" t="s">
        <v>368</v>
      </c>
      <c r="DG183" s="255">
        <v>256700</v>
      </c>
      <c r="DH183" s="255">
        <v>12260</v>
      </c>
      <c r="DI183" s="255">
        <v>0</v>
      </c>
      <c r="DJ183" s="255">
        <v>20000</v>
      </c>
    </row>
    <row r="184" spans="109:114" x14ac:dyDescent="0.2">
      <c r="DE184" s="255"/>
      <c r="DF184" s="630"/>
      <c r="DG184" s="255"/>
      <c r="DH184" s="255"/>
      <c r="DI184" s="255"/>
      <c r="DJ184" s="255"/>
    </row>
    <row r="185" spans="109:114" x14ac:dyDescent="0.2">
      <c r="DE185" s="255"/>
      <c r="DF185" s="630"/>
      <c r="DG185" s="255"/>
      <c r="DH185" s="255"/>
      <c r="DI185" s="255"/>
      <c r="DJ185" s="255"/>
    </row>
    <row r="186" spans="109:114" x14ac:dyDescent="0.2">
      <c r="DE186" s="255"/>
      <c r="DF186" s="630"/>
      <c r="DG186" s="255"/>
      <c r="DH186" s="255"/>
      <c r="DI186" s="255"/>
      <c r="DJ186" s="255"/>
    </row>
    <row r="187" spans="109:114" x14ac:dyDescent="0.2">
      <c r="DE187" s="255"/>
      <c r="DF187" s="630"/>
      <c r="DG187" s="255"/>
      <c r="DH187" s="255"/>
      <c r="DI187" s="255"/>
      <c r="DJ187" s="255"/>
    </row>
    <row r="188" spans="109:114" x14ac:dyDescent="0.2">
      <c r="DE188" s="255"/>
      <c r="DF188" s="630"/>
      <c r="DG188" s="255"/>
      <c r="DH188" s="255"/>
      <c r="DI188" s="255"/>
      <c r="DJ188" s="255"/>
    </row>
    <row r="189" spans="109:114" x14ac:dyDescent="0.2">
      <c r="DE189" s="255"/>
      <c r="DF189" s="630"/>
      <c r="DG189" s="255"/>
      <c r="DH189" s="255"/>
      <c r="DI189" s="255"/>
      <c r="DJ189" s="255"/>
    </row>
    <row r="190" spans="109:114" x14ac:dyDescent="0.2">
      <c r="DE190" s="255"/>
      <c r="DF190" s="630"/>
      <c r="DG190" s="255"/>
      <c r="DH190" s="255"/>
      <c r="DI190" s="255"/>
      <c r="DJ190" s="255"/>
    </row>
    <row r="191" spans="109:114" x14ac:dyDescent="0.2">
      <c r="DE191" s="255"/>
      <c r="DF191" s="630"/>
      <c r="DG191" s="255"/>
      <c r="DH191" s="255"/>
      <c r="DI191" s="255"/>
      <c r="DJ191" s="255"/>
    </row>
    <row r="192" spans="109:114" x14ac:dyDescent="0.2">
      <c r="DE192" s="255"/>
      <c r="DF192" s="630"/>
      <c r="DG192" s="255"/>
      <c r="DH192" s="255"/>
      <c r="DI192" s="255"/>
      <c r="DJ192" s="255"/>
    </row>
    <row r="193" spans="109:114" x14ac:dyDescent="0.2">
      <c r="DE193" s="255"/>
      <c r="DF193" s="630"/>
      <c r="DG193" s="255"/>
      <c r="DH193" s="255"/>
      <c r="DI193" s="255"/>
      <c r="DJ193" s="255"/>
    </row>
    <row r="194" spans="109:114" x14ac:dyDescent="0.2">
      <c r="DE194" s="255"/>
      <c r="DF194" s="630"/>
      <c r="DG194" s="255"/>
      <c r="DH194" s="255"/>
      <c r="DI194" s="255"/>
      <c r="DJ194" s="255"/>
    </row>
    <row r="195" spans="109:114" x14ac:dyDescent="0.2">
      <c r="DE195" s="255"/>
      <c r="DF195" s="630"/>
      <c r="DG195" s="255"/>
      <c r="DH195" s="255"/>
      <c r="DI195" s="255"/>
      <c r="DJ195" s="255"/>
    </row>
    <row r="196" spans="109:114" x14ac:dyDescent="0.2">
      <c r="DE196" s="255"/>
      <c r="DF196" s="630"/>
      <c r="DG196" s="255"/>
      <c r="DH196" s="255"/>
      <c r="DI196" s="255"/>
      <c r="DJ196" s="255"/>
    </row>
    <row r="197" spans="109:114" x14ac:dyDescent="0.2">
      <c r="DE197" s="255"/>
      <c r="DF197" s="630"/>
      <c r="DG197" s="255"/>
      <c r="DH197" s="255"/>
      <c r="DI197" s="255"/>
      <c r="DJ197" s="255"/>
    </row>
    <row r="198" spans="109:114" x14ac:dyDescent="0.2">
      <c r="DE198" s="255"/>
      <c r="DF198" s="630"/>
      <c r="DG198" s="255"/>
      <c r="DH198" s="255"/>
      <c r="DI198" s="255"/>
      <c r="DJ198" s="255"/>
    </row>
    <row r="199" spans="109:114" x14ac:dyDescent="0.2">
      <c r="DE199" s="255"/>
      <c r="DF199" s="630"/>
      <c r="DG199" s="255"/>
      <c r="DH199" s="255"/>
      <c r="DI199" s="255"/>
      <c r="DJ199" s="255"/>
    </row>
    <row r="200" spans="109:114" x14ac:dyDescent="0.2">
      <c r="DE200" s="255"/>
      <c r="DF200" s="630"/>
      <c r="DG200" s="255"/>
      <c r="DH200" s="255"/>
      <c r="DI200" s="255"/>
      <c r="DJ200" s="255"/>
    </row>
    <row r="201" spans="109:114" x14ac:dyDescent="0.2">
      <c r="DE201" s="255"/>
      <c r="DF201" s="630"/>
      <c r="DG201" s="255"/>
      <c r="DH201" s="255"/>
      <c r="DI201" s="255"/>
      <c r="DJ201" s="255"/>
    </row>
    <row r="202" spans="109:114" x14ac:dyDescent="0.2">
      <c r="DE202" s="255"/>
      <c r="DF202" s="630"/>
      <c r="DG202" s="255"/>
      <c r="DH202" s="255"/>
      <c r="DI202" s="255"/>
      <c r="DJ202" s="255"/>
    </row>
    <row r="203" spans="109:114" x14ac:dyDescent="0.2">
      <c r="DE203" s="255"/>
      <c r="DF203" s="630"/>
      <c r="DG203" s="255"/>
      <c r="DH203" s="255"/>
      <c r="DI203" s="255"/>
      <c r="DJ203" s="255"/>
    </row>
    <row r="204" spans="109:114" x14ac:dyDescent="0.2">
      <c r="DE204" s="255"/>
      <c r="DF204" s="630"/>
      <c r="DG204" s="255"/>
      <c r="DH204" s="255"/>
      <c r="DI204" s="255"/>
      <c r="DJ204" s="255"/>
    </row>
    <row r="205" spans="109:114" x14ac:dyDescent="0.2">
      <c r="DE205" s="255"/>
      <c r="DF205" s="630"/>
      <c r="DG205" s="255"/>
      <c r="DH205" s="255"/>
      <c r="DI205" s="255"/>
      <c r="DJ205" s="255"/>
    </row>
    <row r="206" spans="109:114" x14ac:dyDescent="0.2">
      <c r="DE206" s="255"/>
      <c r="DF206" s="630"/>
      <c r="DG206" s="255"/>
      <c r="DH206" s="255"/>
      <c r="DI206" s="255"/>
      <c r="DJ206" s="255"/>
    </row>
    <row r="207" spans="109:114" ht="22.5" customHeight="1" x14ac:dyDescent="0.2">
      <c r="DE207" s="255"/>
      <c r="DF207" s="630"/>
      <c r="DG207" s="255"/>
      <c r="DH207" s="255"/>
      <c r="DI207" s="255"/>
      <c r="DJ207" s="255"/>
    </row>
    <row r="208" spans="109:114" x14ac:dyDescent="0.2">
      <c r="DE208" s="255"/>
      <c r="DF208" s="630"/>
      <c r="DG208" s="255"/>
      <c r="DH208" s="255"/>
      <c r="DI208" s="255"/>
      <c r="DJ208" s="255"/>
    </row>
    <row r="209" spans="109:114" x14ac:dyDescent="0.2">
      <c r="DE209" s="255"/>
      <c r="DF209" s="630"/>
      <c r="DG209" s="255"/>
      <c r="DH209" s="255"/>
      <c r="DI209" s="255"/>
      <c r="DJ209" s="255"/>
    </row>
    <row r="210" spans="109:114" x14ac:dyDescent="0.2">
      <c r="DE210" s="255"/>
      <c r="DF210" s="630"/>
      <c r="DG210" s="255"/>
      <c r="DH210" s="255"/>
      <c r="DI210" s="255"/>
      <c r="DJ210" s="255"/>
    </row>
    <row r="211" spans="109:114" x14ac:dyDescent="0.2">
      <c r="DE211" s="255"/>
      <c r="DF211" s="630"/>
      <c r="DG211" s="255"/>
      <c r="DH211" s="255"/>
      <c r="DI211" s="255"/>
      <c r="DJ211" s="255"/>
    </row>
  </sheetData>
  <sheetProtection sheet="1" objects="1" scenarios="1" formatCells="0" formatColumns="0" formatRows="0" insertColumns="0"/>
  <mergeCells count="40">
    <mergeCell ref="V31:AA31"/>
    <mergeCell ref="D36:BD36"/>
    <mergeCell ref="D39:BD39"/>
    <mergeCell ref="D42:BD42"/>
    <mergeCell ref="D50:BD50"/>
    <mergeCell ref="D43:BD43"/>
    <mergeCell ref="D44:BD44"/>
    <mergeCell ref="D49:BD49"/>
    <mergeCell ref="D38:BD38"/>
    <mergeCell ref="D37:BD37"/>
    <mergeCell ref="D41:BD41"/>
    <mergeCell ref="D40:BD40"/>
    <mergeCell ref="C59:AO60"/>
    <mergeCell ref="D55:BD55"/>
    <mergeCell ref="D56:BD56"/>
    <mergeCell ref="D57:BD57"/>
    <mergeCell ref="D58:BD58"/>
    <mergeCell ref="D54:BD54"/>
    <mergeCell ref="D52:BD52"/>
    <mergeCell ref="D53:BD53"/>
    <mergeCell ref="D45:BD45"/>
    <mergeCell ref="D47:BD47"/>
    <mergeCell ref="D48:BD48"/>
    <mergeCell ref="D51:BD51"/>
    <mergeCell ref="D46:BD46"/>
    <mergeCell ref="D23:BD23"/>
    <mergeCell ref="F26:I26"/>
    <mergeCell ref="V29:AA29"/>
    <mergeCell ref="F30:I30"/>
    <mergeCell ref="M30:P30"/>
    <mergeCell ref="M26:Q26"/>
    <mergeCell ref="D24:BD24"/>
    <mergeCell ref="D25:BD25"/>
    <mergeCell ref="H28:O28"/>
    <mergeCell ref="DE5:DJ5"/>
    <mergeCell ref="C5:AT5"/>
    <mergeCell ref="D21:BD21"/>
    <mergeCell ref="D22:BD22"/>
    <mergeCell ref="C4:BD4"/>
    <mergeCell ref="F6:AJ6"/>
  </mergeCells>
  <phoneticPr fontId="10" type="noConversion"/>
  <conditionalFormatting sqref="F10">
    <cfRule type="cellIs" dxfId="249" priority="83" stopIfTrue="1" operator="lessThan">
      <formula>F8-F9-(0.01*(F8-F9))</formula>
    </cfRule>
  </conditionalFormatting>
  <conditionalFormatting sqref="F12">
    <cfRule type="cellIs" dxfId="248" priority="84" stopIfTrue="1" operator="lessThan">
      <formula>F10+F11-(0.01*(F10+F11))</formula>
    </cfRule>
  </conditionalFormatting>
  <conditionalFormatting sqref="F13">
    <cfRule type="cellIs" dxfId="247" priority="85" stopIfTrue="1" operator="lessThan">
      <formula>0.99*(F14+F15)</formula>
    </cfRule>
  </conditionalFormatting>
  <conditionalFormatting sqref="H10">
    <cfRule type="cellIs" dxfId="246" priority="81" stopIfTrue="1" operator="lessThan">
      <formula>H8-H9-(0.01*(H8-H9))</formula>
    </cfRule>
  </conditionalFormatting>
  <conditionalFormatting sqref="H12">
    <cfRule type="cellIs" dxfId="245" priority="82" stopIfTrue="1" operator="lessThan">
      <formula>H10+H11-(0.01*(H10+H11))</formula>
    </cfRule>
  </conditionalFormatting>
  <conditionalFormatting sqref="J10">
    <cfRule type="cellIs" dxfId="244" priority="79" stopIfTrue="1" operator="lessThan">
      <formula>J8-J9-(0.01*(J8-J9))</formula>
    </cfRule>
  </conditionalFormatting>
  <conditionalFormatting sqref="J12">
    <cfRule type="cellIs" dxfId="243" priority="80" stopIfTrue="1" operator="lessThan">
      <formula>J10+J11-(0.01*(J10+J11))</formula>
    </cfRule>
  </conditionalFormatting>
  <conditionalFormatting sqref="L10">
    <cfRule type="cellIs" dxfId="242" priority="77" stopIfTrue="1" operator="lessThan">
      <formula>L8-L9-(0.01*(L8-L9))</formula>
    </cfRule>
  </conditionalFormatting>
  <conditionalFormatting sqref="L12">
    <cfRule type="cellIs" dxfId="241" priority="78" stopIfTrue="1" operator="lessThan">
      <formula>L10+L11-(0.01*(L10+L11))</formula>
    </cfRule>
  </conditionalFormatting>
  <conditionalFormatting sqref="N10">
    <cfRule type="cellIs" dxfId="240" priority="75" stopIfTrue="1" operator="lessThan">
      <formula>N8-N9-(0.01*(N8-N9))</formula>
    </cfRule>
  </conditionalFormatting>
  <conditionalFormatting sqref="N12">
    <cfRule type="cellIs" dxfId="239" priority="76" stopIfTrue="1" operator="lessThan">
      <formula>N10+N11-(0.01*(N10+N11))</formula>
    </cfRule>
  </conditionalFormatting>
  <conditionalFormatting sqref="P10">
    <cfRule type="cellIs" dxfId="238" priority="73" stopIfTrue="1" operator="lessThan">
      <formula>P8-P9-(0.01*(P8-P9))</formula>
    </cfRule>
  </conditionalFormatting>
  <conditionalFormatting sqref="P12">
    <cfRule type="cellIs" dxfId="237" priority="74" stopIfTrue="1" operator="lessThan">
      <formula>P10+P11-(0.01*(P10+P11))</formula>
    </cfRule>
  </conditionalFormatting>
  <conditionalFormatting sqref="R10">
    <cfRule type="cellIs" dxfId="236" priority="71" stopIfTrue="1" operator="lessThan">
      <formula>R8-R9-(0.01*(R8-R9))</formula>
    </cfRule>
  </conditionalFormatting>
  <conditionalFormatting sqref="R12">
    <cfRule type="cellIs" dxfId="235" priority="72" stopIfTrue="1" operator="lessThan">
      <formula>R10+R11-(0.01*(R10+R11))</formula>
    </cfRule>
  </conditionalFormatting>
  <conditionalFormatting sqref="T10">
    <cfRule type="cellIs" dxfId="234" priority="69" stopIfTrue="1" operator="lessThan">
      <formula>T8-T9-(0.01*(T8-T9))</formula>
    </cfRule>
  </conditionalFormatting>
  <conditionalFormatting sqref="T12">
    <cfRule type="cellIs" dxfId="233" priority="70" stopIfTrue="1" operator="lessThan">
      <formula>T10+T11-(0.01*(T10+T11))</formula>
    </cfRule>
  </conditionalFormatting>
  <conditionalFormatting sqref="V10">
    <cfRule type="cellIs" dxfId="232" priority="67" stopIfTrue="1" operator="lessThan">
      <formula>V8-V9-(0.01*(V8-V9))</formula>
    </cfRule>
  </conditionalFormatting>
  <conditionalFormatting sqref="V12">
    <cfRule type="cellIs" dxfId="231" priority="68" stopIfTrue="1" operator="lessThan">
      <formula>V10+V11-(0.01*(V10+V11))</formula>
    </cfRule>
  </conditionalFormatting>
  <conditionalFormatting sqref="X10">
    <cfRule type="cellIs" dxfId="230" priority="65" stopIfTrue="1" operator="lessThan">
      <formula>X8-X9-(0.01*(X8-X9))</formula>
    </cfRule>
  </conditionalFormatting>
  <conditionalFormatting sqref="X12">
    <cfRule type="cellIs" dxfId="229" priority="66" stopIfTrue="1" operator="lessThan">
      <formula>X10+X11-(0.01*(X10+X11))</formula>
    </cfRule>
  </conditionalFormatting>
  <conditionalFormatting sqref="Z10">
    <cfRule type="cellIs" dxfId="228" priority="63" stopIfTrue="1" operator="lessThan">
      <formula>Z8-Z9-(0.01*(Z8-Z9))</formula>
    </cfRule>
  </conditionalFormatting>
  <conditionalFormatting sqref="Z12">
    <cfRule type="cellIs" dxfId="227" priority="64" stopIfTrue="1" operator="lessThan">
      <formula>Z10+Z11-(0.01*(Z10+Z11))</formula>
    </cfRule>
  </conditionalFormatting>
  <conditionalFormatting sqref="AB10">
    <cfRule type="cellIs" dxfId="226" priority="61" stopIfTrue="1" operator="lessThan">
      <formula>AB8-AB9-(0.01*(AB8-AB9))</formula>
    </cfRule>
  </conditionalFormatting>
  <conditionalFormatting sqref="AB12">
    <cfRule type="cellIs" dxfId="225" priority="62" stopIfTrue="1" operator="lessThan">
      <formula>AB10+AB11-(0.01*(AB10+AB11))</formula>
    </cfRule>
  </conditionalFormatting>
  <conditionalFormatting sqref="AD10">
    <cfRule type="cellIs" dxfId="224" priority="59" stopIfTrue="1" operator="lessThan">
      <formula>AD8-AD9-(0.01*(AD8-AD9))</formula>
    </cfRule>
  </conditionalFormatting>
  <conditionalFormatting sqref="AD12">
    <cfRule type="cellIs" dxfId="223" priority="60" stopIfTrue="1" operator="lessThan">
      <formula>AD10+AD11-(0.01*(AD10+AD11))</formula>
    </cfRule>
  </conditionalFormatting>
  <conditionalFormatting sqref="AF10">
    <cfRule type="cellIs" dxfId="222" priority="57" stopIfTrue="1" operator="lessThan">
      <formula>AF8-AF9-(0.01*(AF8-AF9))</formula>
    </cfRule>
  </conditionalFormatting>
  <conditionalFormatting sqref="AF12">
    <cfRule type="cellIs" dxfId="221" priority="58" stopIfTrue="1" operator="lessThan">
      <formula>AF10+AF11-(0.01*(AF10+AF11))</formula>
    </cfRule>
  </conditionalFormatting>
  <conditionalFormatting sqref="AH10">
    <cfRule type="cellIs" dxfId="220" priority="55" stopIfTrue="1" operator="lessThan">
      <formula>AH8-AH9-(0.01*(AH8-AH9))</formula>
    </cfRule>
  </conditionalFormatting>
  <conditionalFormatting sqref="AH12">
    <cfRule type="cellIs" dxfId="219" priority="56" stopIfTrue="1" operator="lessThan">
      <formula>AH10+AH11-(0.01*(AH10+AH11))</formula>
    </cfRule>
  </conditionalFormatting>
  <conditionalFormatting sqref="AJ10">
    <cfRule type="cellIs" dxfId="218" priority="53" stopIfTrue="1" operator="lessThan">
      <formula>AJ8-AJ9-(0.01*(AJ8-AJ9))</formula>
    </cfRule>
  </conditionalFormatting>
  <conditionalFormatting sqref="AJ12">
    <cfRule type="cellIs" dxfId="217" priority="54" stopIfTrue="1" operator="lessThan">
      <formula>AJ10+AJ11-(0.01*(AJ10+AJ11))</formula>
    </cfRule>
  </conditionalFormatting>
  <conditionalFormatting sqref="AN10">
    <cfRule type="cellIs" dxfId="216" priority="51" stopIfTrue="1" operator="lessThan">
      <formula>AN8-AN9-(0.01*(AN8-AN9))</formula>
    </cfRule>
  </conditionalFormatting>
  <conditionalFormatting sqref="AN12">
    <cfRule type="cellIs" dxfId="215" priority="52" stopIfTrue="1" operator="lessThan">
      <formula>AN10+AN11-(0.01*(AN10+AN11))</formula>
    </cfRule>
  </conditionalFormatting>
  <conditionalFormatting sqref="AP10">
    <cfRule type="cellIs" dxfId="214" priority="49" stopIfTrue="1" operator="lessThan">
      <formula>AP8-AP9-(0.01*(AP8-AP9))</formula>
    </cfRule>
  </conditionalFormatting>
  <conditionalFormatting sqref="AP12">
    <cfRule type="cellIs" dxfId="213" priority="50" stopIfTrue="1" operator="lessThan">
      <formula>AP10+AP11-(0.01*(AP10+AP11))</formula>
    </cfRule>
  </conditionalFormatting>
  <conditionalFormatting sqref="AR10">
    <cfRule type="cellIs" dxfId="212" priority="47" stopIfTrue="1" operator="lessThan">
      <formula>AR8-AR9-(0.01*(AR8-AR9))</formula>
    </cfRule>
  </conditionalFormatting>
  <conditionalFormatting sqref="AR12">
    <cfRule type="cellIs" dxfId="211" priority="48" stopIfTrue="1" operator="lessThan">
      <formula>AR10+AR11-(0.01*(AR10+AR11))</formula>
    </cfRule>
  </conditionalFormatting>
  <conditionalFormatting sqref="AT10">
    <cfRule type="cellIs" dxfId="210" priority="45" stopIfTrue="1" operator="lessThan">
      <formula>AT8-AT9-(0.01*(AT8-AT9))</formula>
    </cfRule>
  </conditionalFormatting>
  <conditionalFormatting sqref="AT12">
    <cfRule type="cellIs" dxfId="209" priority="46" stopIfTrue="1" operator="lessThan">
      <formula>AT10+AT11-(0.01*(AT10+AT11))</formula>
    </cfRule>
  </conditionalFormatting>
  <conditionalFormatting sqref="AV10">
    <cfRule type="cellIs" dxfId="208" priority="43" stopIfTrue="1" operator="lessThan">
      <formula>AV8-AV9-(0.01*(AV8-AV9))</formula>
    </cfRule>
  </conditionalFormatting>
  <conditionalFormatting sqref="AV12">
    <cfRule type="cellIs" dxfId="207" priority="44" stopIfTrue="1" operator="lessThan">
      <formula>AV10+AV11-(0.01*(AV10+AV11))</formula>
    </cfRule>
  </conditionalFormatting>
  <conditionalFormatting sqref="BB10">
    <cfRule type="cellIs" dxfId="206" priority="41" stopIfTrue="1" operator="lessThan">
      <formula>BB8-BB9-(0.01*(BB8-BB9))</formula>
    </cfRule>
  </conditionalFormatting>
  <conditionalFormatting sqref="BB12">
    <cfRule type="cellIs" dxfId="205" priority="42" stopIfTrue="1" operator="lessThan">
      <formula>BB10+BB11-(0.01*(BB10+BB11))</formula>
    </cfRule>
  </conditionalFormatting>
  <conditionalFormatting sqref="H13">
    <cfRule type="cellIs" dxfId="204" priority="40" stopIfTrue="1" operator="lessThan">
      <formula>0.99*(H14+H15)</formula>
    </cfRule>
  </conditionalFormatting>
  <conditionalFormatting sqref="J13">
    <cfRule type="cellIs" dxfId="203" priority="39" stopIfTrue="1" operator="lessThan">
      <formula>0.99*(J14+J15)</formula>
    </cfRule>
  </conditionalFormatting>
  <conditionalFormatting sqref="L13">
    <cfRule type="cellIs" dxfId="202" priority="38" stopIfTrue="1" operator="lessThan">
      <formula>0.99*(L14+L15)</formula>
    </cfRule>
  </conditionalFormatting>
  <conditionalFormatting sqref="N13">
    <cfRule type="cellIs" dxfId="201" priority="37" stopIfTrue="1" operator="lessThan">
      <formula>0.99*(N14+N15)</formula>
    </cfRule>
  </conditionalFormatting>
  <conditionalFormatting sqref="P13">
    <cfRule type="cellIs" dxfId="200" priority="36" stopIfTrue="1" operator="lessThan">
      <formula>0.99*(P14+P15)</formula>
    </cfRule>
  </conditionalFormatting>
  <conditionalFormatting sqref="R13">
    <cfRule type="cellIs" dxfId="199" priority="35" stopIfTrue="1" operator="lessThan">
      <formula>0.99*(R14+R15)</formula>
    </cfRule>
  </conditionalFormatting>
  <conditionalFormatting sqref="T13">
    <cfRule type="cellIs" dxfId="198" priority="34" stopIfTrue="1" operator="lessThan">
      <formula>0.99*(T14+T15)</formula>
    </cfRule>
  </conditionalFormatting>
  <conditionalFormatting sqref="V13">
    <cfRule type="cellIs" dxfId="197" priority="33" stopIfTrue="1" operator="lessThan">
      <formula>0.99*(V14+V15)</formula>
    </cfRule>
  </conditionalFormatting>
  <conditionalFormatting sqref="X13">
    <cfRule type="cellIs" dxfId="196" priority="32" stopIfTrue="1" operator="lessThan">
      <formula>0.99*(X14+X15)</formula>
    </cfRule>
  </conditionalFormatting>
  <conditionalFormatting sqref="Z13">
    <cfRule type="cellIs" dxfId="195" priority="31" stopIfTrue="1" operator="lessThan">
      <formula>0.99*(Z14+Z15)</formula>
    </cfRule>
  </conditionalFormatting>
  <conditionalFormatting sqref="AB13">
    <cfRule type="cellIs" dxfId="194" priority="30" stopIfTrue="1" operator="lessThan">
      <formula>0.99*(AB14+AB15)</formula>
    </cfRule>
  </conditionalFormatting>
  <conditionalFormatting sqref="AD13">
    <cfRule type="cellIs" dxfId="193" priority="29" stopIfTrue="1" operator="lessThan">
      <formula>0.99*(AD14+AD15)</formula>
    </cfRule>
  </conditionalFormatting>
  <conditionalFormatting sqref="AF13">
    <cfRule type="cellIs" dxfId="192" priority="28" stopIfTrue="1" operator="lessThan">
      <formula>0.99*(AF14+AF15)</formula>
    </cfRule>
  </conditionalFormatting>
  <conditionalFormatting sqref="AH13">
    <cfRule type="cellIs" dxfId="191" priority="27" stopIfTrue="1" operator="lessThan">
      <formula>0.99*(AH14+AH15)</formula>
    </cfRule>
  </conditionalFormatting>
  <conditionalFormatting sqref="AJ13">
    <cfRule type="cellIs" dxfId="190" priority="26" stopIfTrue="1" operator="lessThan">
      <formula>0.99*(AJ14+AJ15)</formula>
    </cfRule>
  </conditionalFormatting>
  <conditionalFormatting sqref="AR13">
    <cfRule type="cellIs" dxfId="189" priority="23" stopIfTrue="1" operator="lessThan">
      <formula>0.99*(AR14+AR15)</formula>
    </cfRule>
  </conditionalFormatting>
  <conditionalFormatting sqref="AN13">
    <cfRule type="cellIs" dxfId="188" priority="25" stopIfTrue="1" operator="lessThan">
      <formula>0.99*(AN14+AN15)</formula>
    </cfRule>
  </conditionalFormatting>
  <conditionalFormatting sqref="AP13">
    <cfRule type="cellIs" dxfId="187" priority="24" stopIfTrue="1" operator="lessThan">
      <formula>0.99*(AP14+AP15)</formula>
    </cfRule>
  </conditionalFormatting>
  <conditionalFormatting sqref="AT13">
    <cfRule type="cellIs" dxfId="186" priority="22" stopIfTrue="1" operator="lessThan">
      <formula>0.99*(AT14+AT15)</formula>
    </cfRule>
  </conditionalFormatting>
  <conditionalFormatting sqref="AV13">
    <cfRule type="cellIs" dxfId="185" priority="21" stopIfTrue="1" operator="lessThan">
      <formula>0.99*(AV14+AV15)</formula>
    </cfRule>
  </conditionalFormatting>
  <conditionalFormatting sqref="BB13">
    <cfRule type="cellIs" dxfId="184" priority="20" stopIfTrue="1" operator="lessThan">
      <formula>0.99*(BB14+BB15)</formula>
    </cfRule>
  </conditionalFormatting>
  <conditionalFormatting sqref="AL10">
    <cfRule type="cellIs" dxfId="183" priority="18" stopIfTrue="1" operator="lessThan">
      <formula>AL8-AL9-(0.01*(AL8-AL9))</formula>
    </cfRule>
  </conditionalFormatting>
  <conditionalFormatting sqref="AL12">
    <cfRule type="cellIs" dxfId="182" priority="19" stopIfTrue="1" operator="lessThan">
      <formula>AL10+AL11-(0.01*(AL10+AL11))</formula>
    </cfRule>
  </conditionalFormatting>
  <conditionalFormatting sqref="AL13">
    <cfRule type="cellIs" dxfId="181" priority="17" stopIfTrue="1" operator="lessThan">
      <formula>0.99*(AL14+AL15)</formula>
    </cfRule>
  </conditionalFormatting>
  <conditionalFormatting sqref="BI32 BI35 BI38 BI29">
    <cfRule type="cellIs" dxfId="180" priority="11" stopIfTrue="1" operator="greaterThan">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dxfId="179" priority="13" stopIfTrue="1" operator="equal">
      <formula>"&lt;&gt;"</formula>
    </cfRule>
  </conditionalFormatting>
  <conditionalFormatting sqref="BW8:BW16 BY8:BY16 CA8:CA16 CC8:CC16 CE8:CE16 CG8:CG16 CI8:CI16 CK8:CK16 CM8:CM16 CO8:CO16 CQ8:CQ16 CS8:CS16 CU8:CU16 CW8:CW16 BM8:BM16 BO8:BO16 BQ8:BQ16 BS8:BS16 BU8:BU16 DC8:DC16">
    <cfRule type="cellIs" dxfId="178" priority="12" stopIfTrue="1" operator="equal">
      <formula>"&gt; 25%"</formula>
    </cfRule>
  </conditionalFormatting>
  <conditionalFormatting sqref="AX12">
    <cfRule type="cellIs" dxfId="177" priority="10" stopIfTrue="1" operator="lessThan">
      <formula>AX10+AX11-(0.01*(AX10+AX11))</formula>
    </cfRule>
  </conditionalFormatting>
  <conditionalFormatting sqref="AZ12">
    <cfRule type="cellIs" dxfId="176" priority="8" stopIfTrue="1" operator="lessThan">
      <formula>AZ10+AZ11-(0.01*(AZ10+AZ11))</formula>
    </cfRule>
  </conditionalFormatting>
  <conditionalFormatting sqref="AX13">
    <cfRule type="cellIs" dxfId="175" priority="6" stopIfTrue="1" operator="lessThan">
      <formula>0.99*(AX14+AX15)</formula>
    </cfRule>
  </conditionalFormatting>
  <conditionalFormatting sqref="AZ13">
    <cfRule type="cellIs" dxfId="174" priority="5" stopIfTrue="1" operator="lessThan">
      <formula>0.99*(AZ14+AZ15)</formula>
    </cfRule>
  </conditionalFormatting>
  <conditionalFormatting sqref="CY26 DA23 DA26 CY23">
    <cfRule type="cellIs" dxfId="173" priority="4" stopIfTrue="1" operator="equal">
      <formula>"&lt;&gt;"</formula>
    </cfRule>
  </conditionalFormatting>
  <conditionalFormatting sqref="CY8:CY16 DA8:DA16">
    <cfRule type="cellIs" dxfId="172" priority="3" stopIfTrue="1" operator="equal">
      <formula>"&gt; 25%"</formula>
    </cfRule>
  </conditionalFormatting>
  <conditionalFormatting sqref="AX10">
    <cfRule type="cellIs" dxfId="171" priority="2" stopIfTrue="1" operator="lessThan">
      <formula>AX8-AX9-(0.01*(AX8-AX9))</formula>
    </cfRule>
  </conditionalFormatting>
  <conditionalFormatting sqref="AZ10">
    <cfRule type="cellIs" dxfId="170" priority="1" stopIfTrue="1" operator="lessThan">
      <formula>AZ8-AZ9-(0.01*(AZ8-AZ9))</formula>
    </cfRule>
  </conditionalFormatting>
  <printOptions horizontalCentered="1"/>
  <pageMargins left="0.5" right="0.5" top="0.75" bottom="0.75" header="0.5" footer="0.5"/>
  <pageSetup paperSize="9" scale="53" firstPageNumber="15" fitToHeight="0" orientation="landscape" r:id="rId1"/>
  <headerFooter alignWithMargins="0">
    <oddFooter>&amp;CUNSD/Programa de las Naciones Unidas para el Medio Ambiente Cuestionario 2018 Estadisticas Ambientales -  Sección del Agua -  &amp;P</oddFooter>
  </headerFooter>
  <rowBreaks count="1" manualBreakCount="1">
    <brk id="32" min="2" max="45" man="1"/>
  </rowBreaks>
  <colBreaks count="1" manualBreakCount="1">
    <brk id="5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EN90"/>
  <sheetViews>
    <sheetView showGridLines="0" zoomScale="85" zoomScaleNormal="85" zoomScaleSheetLayoutView="40" zoomScalePageLayoutView="40" workbookViewId="0">
      <pane xSplit="5" ySplit="7" topLeftCell="F8" activePane="bottomRight" state="frozen"/>
      <selection activeCell="C1" sqref="C1"/>
      <selection pane="topRight" activeCell="F1" sqref="F1"/>
      <selection pane="bottomLeft" activeCell="C8" sqref="C8"/>
      <selection pane="bottomRight" activeCell="F8" sqref="F8"/>
    </sheetView>
  </sheetViews>
  <sheetFormatPr defaultColWidth="9.33203125" defaultRowHeight="12.75" x14ac:dyDescent="0.2"/>
  <cols>
    <col min="1" max="1" width="4.1640625" style="230" hidden="1" customWidth="1"/>
    <col min="2" max="2" width="8.1640625" style="199" hidden="1" customWidth="1"/>
    <col min="3" max="3" width="8.5" style="235" customWidth="1"/>
    <col min="4" max="4" width="51.83203125" style="235" customWidth="1"/>
    <col min="5" max="5" width="9.5" style="235" customWidth="1"/>
    <col min="6" max="6" width="9.1640625" style="235" customWidth="1"/>
    <col min="7" max="7" width="1.83203125" style="239" customWidth="1"/>
    <col min="8" max="8" width="7" style="240" customWidth="1"/>
    <col min="9" max="9" width="1.83203125" style="241" customWidth="1"/>
    <col min="10" max="10" width="7.1640625" style="241" customWidth="1"/>
    <col min="11" max="11" width="1.83203125" style="241" customWidth="1"/>
    <col min="12" max="12" width="7.1640625" style="241" customWidth="1"/>
    <col min="13" max="13" width="1.83203125" style="241" customWidth="1"/>
    <col min="14" max="14" width="7.1640625" style="241" customWidth="1"/>
    <col min="15" max="15" width="1.83203125" style="241" customWidth="1"/>
    <col min="16" max="16" width="7" style="240" customWidth="1"/>
    <col min="17" max="17" width="1.83203125" style="241"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2" style="239" customWidth="1"/>
    <col min="44" max="44" width="7" style="239" customWidth="1"/>
    <col min="45" max="45" width="1.83203125" style="239" customWidth="1"/>
    <col min="46" max="46" width="7" style="240" customWidth="1"/>
    <col min="47" max="47" width="1.83203125" style="235" customWidth="1"/>
    <col min="48" max="48" width="7" style="239" customWidth="1"/>
    <col min="49" max="49" width="1.83203125" style="239" customWidth="1"/>
    <col min="50" max="50" width="7" style="240" customWidth="1"/>
    <col min="51" max="51" width="1.83203125" style="235" customWidth="1"/>
    <col min="52" max="52" width="7" style="240" customWidth="1"/>
    <col min="53" max="53" width="1.83203125" style="235" customWidth="1"/>
    <col min="54" max="54" width="3" style="235" customWidth="1"/>
    <col min="55" max="55" width="4.5" style="233" customWidth="1"/>
    <col min="56" max="56" width="3.5" style="493" customWidth="1"/>
    <col min="57" max="57" width="30.1640625" style="493" customWidth="1"/>
    <col min="58" max="58" width="7.5" style="493" customWidth="1"/>
    <col min="59" max="59" width="4.5" style="493" customWidth="1"/>
    <col min="60" max="60" width="1.5" style="493" customWidth="1"/>
    <col min="61" max="61" width="5.33203125" style="493" customWidth="1"/>
    <col min="62" max="62" width="1.1640625" style="493" customWidth="1"/>
    <col min="63" max="63" width="5.33203125" style="493" customWidth="1"/>
    <col min="64" max="64" width="0.83203125" style="493" customWidth="1"/>
    <col min="65" max="65" width="5.33203125" style="493" customWidth="1"/>
    <col min="66" max="66" width="0.83203125" style="493" customWidth="1"/>
    <col min="67" max="67" width="5.33203125" style="493" customWidth="1"/>
    <col min="68" max="68" width="0.83203125" style="493" customWidth="1"/>
    <col min="69" max="69" width="5.33203125" style="493" customWidth="1"/>
    <col min="70" max="70" width="0.83203125" style="493" customWidth="1"/>
    <col min="71" max="71" width="5.33203125" style="493" customWidth="1"/>
    <col min="72" max="72" width="0.83203125" style="493" customWidth="1"/>
    <col min="73" max="73" width="5.33203125" style="493" customWidth="1"/>
    <col min="74" max="74" width="0.83203125" style="493" customWidth="1"/>
    <col min="75" max="75" width="5.33203125" style="493" customWidth="1"/>
    <col min="76" max="76" width="0.83203125" style="493" customWidth="1"/>
    <col min="77" max="77" width="5.33203125" style="493" customWidth="1"/>
    <col min="78" max="78" width="0.83203125" style="493" customWidth="1"/>
    <col min="79" max="79" width="5.33203125" style="493" customWidth="1"/>
    <col min="80" max="80" width="0.83203125" style="493" customWidth="1"/>
    <col min="81" max="81" width="5.33203125" style="493" customWidth="1"/>
    <col min="82" max="82" width="0.83203125" style="493" customWidth="1"/>
    <col min="83" max="83" width="5.33203125" style="493" customWidth="1"/>
    <col min="84" max="84" width="0.83203125" style="493" customWidth="1"/>
    <col min="85" max="85" width="5.33203125" style="493" customWidth="1"/>
    <col min="86" max="86" width="0.83203125" style="493" customWidth="1"/>
    <col min="87" max="87" width="5.33203125" style="493" customWidth="1"/>
    <col min="88" max="88" width="0.83203125" style="493" customWidth="1"/>
    <col min="89" max="89" width="5.33203125" style="493" customWidth="1"/>
    <col min="90" max="90" width="0.83203125" style="493" customWidth="1"/>
    <col min="91" max="91" width="5.33203125" style="493" customWidth="1"/>
    <col min="92" max="92" width="0.83203125" style="493" customWidth="1"/>
    <col min="93" max="93" width="5.33203125" style="493" customWidth="1"/>
    <col min="94" max="94" width="0.83203125" style="493" customWidth="1"/>
    <col min="95" max="95" width="5.33203125" style="493" customWidth="1"/>
    <col min="96" max="96" width="0.83203125" style="493" customWidth="1"/>
    <col min="97" max="97" width="5.33203125" style="493" customWidth="1"/>
    <col min="98" max="98" width="0.83203125" style="493" customWidth="1"/>
    <col min="99" max="99" width="5.33203125" style="493" customWidth="1"/>
    <col min="100" max="100" width="0.83203125" style="493" customWidth="1"/>
    <col min="101" max="101" width="5.33203125" style="493" customWidth="1"/>
    <col min="102" max="102" width="0.83203125" style="493" customWidth="1"/>
    <col min="103" max="103" width="5.33203125" style="493" customWidth="1"/>
    <col min="104" max="104" width="0.83203125" style="493" customWidth="1"/>
    <col min="105" max="105" width="5.1640625" style="493" customWidth="1"/>
    <col min="106" max="144" width="9.33203125" style="357"/>
    <col min="145" max="16384" width="9.33203125" style="235"/>
  </cols>
  <sheetData>
    <row r="1" spans="1:144" ht="16.5" customHeight="1" x14ac:dyDescent="0.25">
      <c r="B1" s="199">
        <v>0</v>
      </c>
      <c r="C1" s="200" t="s">
        <v>395</v>
      </c>
      <c r="D1" s="200"/>
      <c r="E1" s="352"/>
      <c r="F1" s="352"/>
      <c r="G1" s="353"/>
      <c r="H1" s="354"/>
      <c r="I1" s="355"/>
      <c r="J1" s="355"/>
      <c r="K1" s="355"/>
      <c r="L1" s="355"/>
      <c r="M1" s="355"/>
      <c r="N1" s="355"/>
      <c r="O1" s="355"/>
      <c r="P1" s="354"/>
      <c r="Q1" s="355"/>
      <c r="R1" s="354"/>
      <c r="S1" s="355"/>
      <c r="T1" s="354"/>
      <c r="U1" s="355"/>
      <c r="V1" s="354"/>
      <c r="W1" s="353"/>
      <c r="X1" s="354"/>
      <c r="Y1" s="353"/>
      <c r="Z1" s="354"/>
      <c r="AA1" s="353"/>
      <c r="AB1" s="354"/>
      <c r="AC1" s="353"/>
      <c r="AD1" s="354"/>
      <c r="AE1" s="353"/>
      <c r="AF1" s="354"/>
      <c r="AG1" s="353"/>
      <c r="AH1" s="354"/>
      <c r="AI1" s="355"/>
      <c r="AJ1" s="354"/>
      <c r="AK1" s="353"/>
      <c r="AL1" s="354"/>
      <c r="AM1" s="353"/>
      <c r="AN1" s="354"/>
      <c r="AO1" s="353"/>
      <c r="AP1" s="353"/>
      <c r="AQ1" s="353"/>
      <c r="AR1" s="353"/>
      <c r="AS1" s="353"/>
      <c r="AT1" s="354"/>
      <c r="AU1" s="356"/>
      <c r="AV1" s="353"/>
      <c r="AW1" s="353"/>
      <c r="AX1" s="354"/>
      <c r="AY1" s="356"/>
      <c r="AZ1" s="354"/>
      <c r="BA1" s="356"/>
      <c r="BB1" s="356"/>
      <c r="BD1" s="210" t="s">
        <v>465</v>
      </c>
    </row>
    <row r="2" spans="1:144" ht="6" customHeight="1" x14ac:dyDescent="0.2">
      <c r="E2" s="358"/>
      <c r="F2" s="358"/>
      <c r="G2" s="359"/>
      <c r="H2" s="360"/>
      <c r="I2" s="361"/>
      <c r="J2" s="361"/>
      <c r="K2" s="361"/>
      <c r="L2" s="361"/>
      <c r="M2" s="361"/>
      <c r="N2" s="361"/>
      <c r="O2" s="361"/>
      <c r="P2" s="360"/>
      <c r="Q2" s="361"/>
      <c r="R2" s="360"/>
      <c r="S2" s="361"/>
      <c r="T2" s="360"/>
      <c r="U2" s="361"/>
      <c r="V2" s="360"/>
      <c r="W2" s="362"/>
    </row>
    <row r="3" spans="1:144" s="379" customFormat="1" ht="17.25" customHeight="1" x14ac:dyDescent="0.25">
      <c r="A3" s="302"/>
      <c r="B3" s="302">
        <v>170</v>
      </c>
      <c r="C3" s="363" t="s">
        <v>518</v>
      </c>
      <c r="D3" s="591" t="s">
        <v>248</v>
      </c>
      <c r="E3" s="443"/>
      <c r="F3" s="444"/>
      <c r="G3" s="445"/>
      <c r="H3" s="446"/>
      <c r="I3" s="447"/>
      <c r="J3" s="447"/>
      <c r="K3" s="447"/>
      <c r="L3" s="447"/>
      <c r="M3" s="447"/>
      <c r="N3" s="447"/>
      <c r="O3" s="447"/>
      <c r="P3" s="446"/>
      <c r="Q3" s="447"/>
      <c r="R3" s="446"/>
      <c r="S3" s="447"/>
      <c r="T3" s="446"/>
      <c r="U3" s="447"/>
      <c r="V3" s="446"/>
      <c r="W3" s="445"/>
      <c r="X3" s="446"/>
      <c r="Y3" s="448"/>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369"/>
      <c r="BD3" s="370" t="s">
        <v>441</v>
      </c>
      <c r="BE3" s="371"/>
      <c r="BF3" s="372"/>
      <c r="BG3" s="373"/>
      <c r="BH3" s="373"/>
      <c r="BI3" s="374"/>
      <c r="BJ3" s="374"/>
      <c r="BK3" s="374"/>
      <c r="BL3" s="374"/>
      <c r="BM3" s="374"/>
      <c r="BN3" s="374"/>
      <c r="BO3" s="374"/>
      <c r="BP3" s="374"/>
      <c r="BQ3" s="374"/>
      <c r="BR3" s="374"/>
      <c r="BS3" s="375"/>
      <c r="BT3" s="375"/>
      <c r="BU3" s="375"/>
      <c r="BV3" s="375"/>
      <c r="BW3" s="375"/>
      <c r="BX3" s="375"/>
      <c r="BY3" s="376"/>
      <c r="BZ3" s="376"/>
      <c r="CA3" s="372"/>
      <c r="CB3" s="372"/>
      <c r="CC3" s="372"/>
      <c r="CD3" s="372"/>
      <c r="CE3" s="372"/>
      <c r="CF3" s="372"/>
      <c r="CG3" s="376"/>
      <c r="CH3" s="376"/>
      <c r="CI3" s="372"/>
      <c r="CJ3" s="372"/>
      <c r="CK3" s="372"/>
      <c r="CL3" s="372"/>
      <c r="CM3" s="372"/>
      <c r="CN3" s="372"/>
      <c r="CO3" s="372"/>
      <c r="CP3" s="372"/>
      <c r="CQ3" s="372"/>
      <c r="CR3" s="372"/>
      <c r="CS3" s="372"/>
      <c r="CT3" s="372"/>
      <c r="CU3" s="372"/>
      <c r="CV3" s="372"/>
      <c r="CW3" s="372"/>
      <c r="CX3" s="372"/>
      <c r="CY3" s="372"/>
      <c r="CZ3" s="372"/>
      <c r="DA3" s="372"/>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row>
    <row r="4" spans="1:144" ht="3" customHeight="1" x14ac:dyDescent="0.2">
      <c r="E4" s="380"/>
      <c r="F4" s="380"/>
      <c r="Z4" s="367"/>
      <c r="AA4" s="362"/>
      <c r="AB4" s="367"/>
      <c r="AK4" s="359"/>
      <c r="AL4" s="360"/>
      <c r="BB4" s="325"/>
      <c r="BD4" s="342"/>
      <c r="BE4" s="342"/>
    </row>
    <row r="5" spans="1:144" ht="17.25" customHeight="1" x14ac:dyDescent="0.25">
      <c r="B5" s="250">
        <v>23</v>
      </c>
      <c r="C5" s="802" t="s">
        <v>81</v>
      </c>
      <c r="D5" s="802"/>
      <c r="E5" s="803"/>
      <c r="F5" s="803"/>
      <c r="G5" s="803"/>
      <c r="H5" s="804"/>
      <c r="I5" s="804"/>
      <c r="J5" s="804"/>
      <c r="K5" s="804"/>
      <c r="L5" s="804"/>
      <c r="M5" s="804"/>
      <c r="N5" s="804"/>
      <c r="O5" s="804"/>
      <c r="P5" s="804"/>
      <c r="Q5" s="804"/>
      <c r="R5" s="804"/>
      <c r="S5" s="804"/>
      <c r="T5" s="804"/>
      <c r="U5" s="804"/>
      <c r="V5" s="804"/>
      <c r="W5" s="803"/>
      <c r="X5" s="804"/>
      <c r="Y5" s="803"/>
      <c r="Z5" s="804"/>
      <c r="AA5" s="803"/>
      <c r="AB5" s="804"/>
      <c r="AC5" s="803"/>
      <c r="AD5" s="804"/>
      <c r="AE5" s="803"/>
      <c r="AF5" s="804"/>
      <c r="AG5" s="803"/>
      <c r="AH5" s="804"/>
      <c r="AI5" s="804"/>
      <c r="AJ5" s="804"/>
      <c r="AK5" s="803"/>
      <c r="AL5" s="804"/>
      <c r="AM5" s="803"/>
      <c r="AN5" s="381"/>
      <c r="AO5" s="382"/>
      <c r="AP5" s="382"/>
      <c r="AQ5" s="382"/>
      <c r="AR5" s="382"/>
      <c r="AS5" s="382"/>
      <c r="AT5" s="381"/>
      <c r="AU5" s="328"/>
      <c r="AV5" s="382"/>
      <c r="AW5" s="382"/>
      <c r="AX5" s="381"/>
      <c r="AY5" s="328"/>
      <c r="AZ5" s="381"/>
      <c r="BA5" s="328"/>
      <c r="BB5" s="328"/>
      <c r="BD5" s="383" t="s">
        <v>442</v>
      </c>
      <c r="BE5" s="342"/>
    </row>
    <row r="6" spans="1:144" ht="18" customHeight="1" x14ac:dyDescent="0.25">
      <c r="E6" s="631"/>
      <c r="F6" s="681" t="s">
        <v>408</v>
      </c>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J6" s="384"/>
      <c r="AK6" s="385"/>
      <c r="AL6" s="384"/>
      <c r="AN6" s="384"/>
      <c r="AO6" s="386"/>
      <c r="AP6" s="386"/>
      <c r="AQ6" s="386"/>
      <c r="AR6" s="386"/>
      <c r="AS6" s="386"/>
      <c r="AT6" s="343"/>
      <c r="AV6" s="386"/>
      <c r="AW6" s="386"/>
      <c r="AX6" s="343"/>
      <c r="AZ6" s="343"/>
      <c r="BB6" s="343"/>
      <c r="BD6" s="388" t="s">
        <v>567</v>
      </c>
      <c r="BE6" s="342"/>
    </row>
    <row r="7" spans="1:144" s="254" customFormat="1" ht="21.75" customHeight="1" x14ac:dyDescent="0.2">
      <c r="A7" s="249"/>
      <c r="B7" s="250">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C7" s="249"/>
      <c r="BD7" s="252" t="s">
        <v>201</v>
      </c>
      <c r="BE7" s="252" t="s">
        <v>202</v>
      </c>
      <c r="BF7" s="252" t="s">
        <v>203</v>
      </c>
      <c r="BG7" s="251">
        <v>1990</v>
      </c>
      <c r="BH7" s="251"/>
      <c r="BI7" s="252">
        <v>1995</v>
      </c>
      <c r="BJ7" s="252"/>
      <c r="BK7" s="252">
        <v>1996</v>
      </c>
      <c r="BL7" s="252"/>
      <c r="BM7" s="252">
        <v>1997</v>
      </c>
      <c r="BN7" s="252"/>
      <c r="BO7" s="252">
        <v>1998</v>
      </c>
      <c r="BP7" s="252"/>
      <c r="BQ7" s="252">
        <v>1999</v>
      </c>
      <c r="BR7" s="252"/>
      <c r="BS7" s="252">
        <v>2000</v>
      </c>
      <c r="BT7" s="252"/>
      <c r="BU7" s="252">
        <v>2001</v>
      </c>
      <c r="BV7" s="252"/>
      <c r="BW7" s="252">
        <v>2002</v>
      </c>
      <c r="BX7" s="252"/>
      <c r="BY7" s="252">
        <v>2003</v>
      </c>
      <c r="BZ7" s="252"/>
      <c r="CA7" s="252">
        <v>2004</v>
      </c>
      <c r="CB7" s="252"/>
      <c r="CC7" s="252">
        <v>2005</v>
      </c>
      <c r="CD7" s="252"/>
      <c r="CE7" s="252">
        <v>2006</v>
      </c>
      <c r="CF7" s="252"/>
      <c r="CG7" s="252">
        <v>2007</v>
      </c>
      <c r="CH7" s="252"/>
      <c r="CI7" s="252">
        <v>2008</v>
      </c>
      <c r="CJ7" s="252"/>
      <c r="CK7" s="252">
        <v>2009</v>
      </c>
      <c r="CL7" s="252"/>
      <c r="CM7" s="252">
        <v>2010</v>
      </c>
      <c r="CN7" s="252"/>
      <c r="CO7" s="252">
        <v>2011</v>
      </c>
      <c r="CP7" s="252"/>
      <c r="CQ7" s="252">
        <v>2012</v>
      </c>
      <c r="CR7" s="252"/>
      <c r="CS7" s="252">
        <v>2013</v>
      </c>
      <c r="CT7" s="252"/>
      <c r="CU7" s="252">
        <v>2014</v>
      </c>
      <c r="CV7" s="252"/>
      <c r="CW7" s="252">
        <v>2015</v>
      </c>
      <c r="CX7" s="252"/>
      <c r="CY7" s="252">
        <v>2016</v>
      </c>
      <c r="CZ7" s="252"/>
      <c r="DA7" s="252">
        <v>2017</v>
      </c>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row>
    <row r="8" spans="1:144" s="392" customFormat="1" ht="15" customHeight="1" x14ac:dyDescent="0.2">
      <c r="A8" s="249"/>
      <c r="B8" s="390">
        <v>24</v>
      </c>
      <c r="C8" s="260">
        <v>1</v>
      </c>
      <c r="D8" s="391" t="s">
        <v>539</v>
      </c>
      <c r="E8" s="260" t="s">
        <v>60</v>
      </c>
      <c r="F8" s="579"/>
      <c r="G8" s="597"/>
      <c r="H8" s="579"/>
      <c r="I8" s="597"/>
      <c r="J8" s="579"/>
      <c r="K8" s="597"/>
      <c r="L8" s="579"/>
      <c r="M8" s="597"/>
      <c r="N8" s="579"/>
      <c r="O8" s="597"/>
      <c r="P8" s="579"/>
      <c r="Q8" s="597"/>
      <c r="R8" s="579"/>
      <c r="S8" s="597"/>
      <c r="T8" s="579"/>
      <c r="U8" s="597"/>
      <c r="V8" s="579"/>
      <c r="W8" s="597"/>
      <c r="X8" s="579"/>
      <c r="Y8" s="597"/>
      <c r="Z8" s="579"/>
      <c r="AA8" s="597"/>
      <c r="AB8" s="579"/>
      <c r="AC8" s="597"/>
      <c r="AD8" s="579"/>
      <c r="AE8" s="597"/>
      <c r="AF8" s="579"/>
      <c r="AG8" s="597"/>
      <c r="AH8" s="579"/>
      <c r="AI8" s="597"/>
      <c r="AJ8" s="579"/>
      <c r="AK8" s="597"/>
      <c r="AL8" s="579"/>
      <c r="AM8" s="597"/>
      <c r="AN8" s="579"/>
      <c r="AO8" s="597"/>
      <c r="AP8" s="579"/>
      <c r="AQ8" s="597"/>
      <c r="AR8" s="689"/>
      <c r="AS8" s="597"/>
      <c r="AT8" s="579">
        <v>80295.673875655382</v>
      </c>
      <c r="AU8" s="597" t="s">
        <v>21</v>
      </c>
      <c r="AV8" s="579">
        <v>80840.918976274173</v>
      </c>
      <c r="AW8" s="597" t="s">
        <v>21</v>
      </c>
      <c r="AX8" s="579">
        <v>89626.000292841098</v>
      </c>
      <c r="AY8" s="597" t="s">
        <v>21</v>
      </c>
      <c r="AZ8" s="579"/>
      <c r="BA8" s="597"/>
      <c r="BC8" s="393"/>
      <c r="BD8" s="646">
        <v>1</v>
      </c>
      <c r="BE8" s="315" t="s">
        <v>475</v>
      </c>
      <c r="BF8" s="98" t="s">
        <v>462</v>
      </c>
      <c r="BG8" s="79" t="s">
        <v>466</v>
      </c>
      <c r="BH8" s="266"/>
      <c r="BI8" s="79" t="str">
        <f>IF(OR(ISBLANK(F8),ISBLANK(H8)),"N/A",IF(ABS((H8-F8)/F8)&gt;1,"&gt; 100%","ok"))</f>
        <v>N/A</v>
      </c>
      <c r="BJ8" s="266"/>
      <c r="BK8" s="79" t="str">
        <f>IF(OR(ISBLANK(H8),ISBLANK(J8)),"N/A",IF(ABS((J8-H8)/H8)&gt;0.25,"&gt; 25%","ok"))</f>
        <v>N/A</v>
      </c>
      <c r="BL8" s="79"/>
      <c r="BM8" s="79" t="str">
        <f>IF(OR(ISBLANK(J8),ISBLANK(L8)),"N/A",IF(ABS((L8-J8)/J8)&gt;0.25,"&gt; 25%","ok"))</f>
        <v>N/A</v>
      </c>
      <c r="BN8" s="79"/>
      <c r="BO8" s="79" t="str">
        <f>IF(OR(ISBLANK(L8),ISBLANK(N8)),"N/A",IF(ABS((N8-L8)/L8)&gt;0.25,"&gt; 25%","ok"))</f>
        <v>N/A</v>
      </c>
      <c r="BP8" s="79"/>
      <c r="BQ8" s="79" t="str">
        <f>IF(OR(ISBLANK(N8),ISBLANK(P8)),"N/A",IF(ABS((P8-N8)/N8)&gt;0.25,"&gt; 25%","ok"))</f>
        <v>N/A</v>
      </c>
      <c r="BR8" s="79"/>
      <c r="BS8" s="79" t="str">
        <f>IF(OR(ISBLANK(P8),ISBLANK(R8)),"N/A",IF(ABS((R8-P8)/P8)&gt;0.25,"&gt; 25%","ok"))</f>
        <v>N/A</v>
      </c>
      <c r="BT8" s="79"/>
      <c r="BU8" s="79" t="str">
        <f>IF(OR(ISBLANK(R8),ISBLANK(T8)),"N/A",IF(ABS((T8-R8)/R8)&gt;0.25,"&gt; 25%","ok"))</f>
        <v>N/A</v>
      </c>
      <c r="BV8" s="79"/>
      <c r="BW8" s="79" t="str">
        <f>IF(OR(ISBLANK(T8),ISBLANK(V8)),"N/A",IF(ABS((V8-T8)/T8)&gt;0.25,"&gt; 25%","ok"))</f>
        <v>N/A</v>
      </c>
      <c r="BX8" s="79"/>
      <c r="BY8" s="79" t="str">
        <f>IF(OR(ISBLANK(V8),ISBLANK(X8)),"N/A",IF(ABS((X8-V8)/V8)&gt;0.25,"&gt; 25%","ok"))</f>
        <v>N/A</v>
      </c>
      <c r="BZ8" s="79"/>
      <c r="CA8" s="79" t="str">
        <f>IF(OR(ISBLANK(X8),ISBLANK(Z8)),"N/A",IF(ABS((Z8-X8)/X8)&gt;0.25,"&gt; 25%","ok"))</f>
        <v>N/A</v>
      </c>
      <c r="CB8" s="79"/>
      <c r="CC8" s="79" t="str">
        <f>IF(OR(ISBLANK(Z8),ISBLANK(AB8)),"N/A",IF(ABS((AB8-Z8)/Z8)&gt;0.25,"&gt; 25%","ok"))</f>
        <v>N/A</v>
      </c>
      <c r="CD8" s="79"/>
      <c r="CE8" s="79" t="str">
        <f>IF(OR(ISBLANK(AB8),ISBLANK(AD8)),"N/A",IF(ABS((AD8-AB8)/AB8)&gt;0.25,"&gt; 25%","ok"))</f>
        <v>N/A</v>
      </c>
      <c r="CF8" s="79"/>
      <c r="CG8" s="79" t="str">
        <f>IF(OR(ISBLANK(AD8),ISBLANK(AF8)),"N/A",IF(ABS((AF8-AD8)/AD8)&gt;0.25,"&gt; 25%","ok"))</f>
        <v>N/A</v>
      </c>
      <c r="CH8" s="79"/>
      <c r="CI8" s="79" t="str">
        <f>IF(OR(ISBLANK(AF8),ISBLANK(AH8)),"N/A",IF(ABS((AH8-AF8)/AF8)&gt;0.25,"&gt; 25%","ok"))</f>
        <v>N/A</v>
      </c>
      <c r="CJ8" s="79"/>
      <c r="CK8" s="79" t="str">
        <f>IF(OR(ISBLANK(AH8),ISBLANK(AJ8)),"N/A",IF(ABS((AJ8-AH8)/AH8)&gt;0.25,"&gt; 25%","ok"))</f>
        <v>N/A</v>
      </c>
      <c r="CL8" s="79"/>
      <c r="CM8" s="79" t="str">
        <f>IF(OR(ISBLANK(AJ8),ISBLANK(AL8)),"N/A",IF(ABS((AL8-AJ8)/AJ8)&gt;0.25,"&gt; 25%","ok"))</f>
        <v>N/A</v>
      </c>
      <c r="CN8" s="79"/>
      <c r="CO8" s="79" t="str">
        <f>IF(OR(ISBLANK(AL8),ISBLANK(AN8)),"N/A",IF(ABS((AN8-AL8)/AL8)&gt;0.25,"&gt; 25%","ok"))</f>
        <v>N/A</v>
      </c>
      <c r="CP8" s="79"/>
      <c r="CQ8" s="79" t="str">
        <f>IF(OR(ISBLANK(AN8),ISBLANK(AP8)),"N/A",IF(ABS((AP8-AN8)/AN8)&gt;0.25,"&gt; 25%","ok"))</f>
        <v>N/A</v>
      </c>
      <c r="CR8" s="79"/>
      <c r="CS8" s="79" t="str">
        <f>IF(OR(ISBLANK(AP8),ISBLANK(AR8)),"N/A",IF(ABS((AR8-AP8)/AP8)&gt;0.25,"&gt; 25%","ok"))</f>
        <v>N/A</v>
      </c>
      <c r="CT8" s="79"/>
      <c r="CU8" s="79" t="str">
        <f>IF(OR(ISBLANK(AR8),ISBLANK(AT8)),"N/A",IF(ABS((AT8-AR8)/AR8)&gt;0.25,"&gt; 25%","ok"))</f>
        <v>N/A</v>
      </c>
      <c r="CV8" s="79"/>
      <c r="CW8" s="79" t="str">
        <f>IF(OR(ISBLANK(AT8),ISBLANK(AV8)),"N/A",IF(ABS((AV8-AT8)/AT8)&gt;0.25,"&gt; 25%","ok"))</f>
        <v>ok</v>
      </c>
      <c r="CX8" s="79"/>
      <c r="CY8" s="79" t="str">
        <f>IF(OR(ISBLANK(AV8),ISBLANK(AX8)),"N/A",IF(ABS((AX8-AV8)/AV8)&gt;0.25,"&gt; 25%","ok"))</f>
        <v>ok</v>
      </c>
      <c r="CZ8" s="79"/>
      <c r="DA8" s="79" t="str">
        <f>IF(OR(ISBLANK(AX8),ISBLANK(AZ8)),"N/A",IF(ABS((AZ8-AX8)/AX8)&gt;0.25,"&gt; 25%","ok"))</f>
        <v>N/A</v>
      </c>
      <c r="DB8" s="389"/>
      <c r="DC8" s="389"/>
      <c r="DD8" s="389"/>
      <c r="DE8" s="389"/>
      <c r="DF8" s="389"/>
      <c r="DG8" s="389"/>
      <c r="DH8" s="389"/>
      <c r="DI8" s="389"/>
      <c r="DJ8" s="389"/>
      <c r="DK8" s="389"/>
      <c r="DL8" s="389"/>
      <c r="DM8" s="389"/>
      <c r="DN8" s="389"/>
      <c r="DO8" s="389"/>
      <c r="DP8" s="389"/>
      <c r="DQ8" s="389"/>
      <c r="DR8" s="389"/>
      <c r="DS8" s="389"/>
      <c r="DT8" s="389"/>
      <c r="DU8" s="389"/>
      <c r="DV8" s="389"/>
      <c r="DW8" s="389"/>
      <c r="DX8" s="389"/>
      <c r="DY8" s="389"/>
      <c r="DZ8" s="389"/>
      <c r="EA8" s="389"/>
      <c r="EB8" s="389"/>
      <c r="EC8" s="389"/>
      <c r="ED8" s="389"/>
      <c r="EE8" s="389"/>
      <c r="EF8" s="389"/>
      <c r="EG8" s="389"/>
      <c r="EH8" s="389"/>
      <c r="EI8" s="389"/>
      <c r="EJ8" s="389"/>
      <c r="EK8" s="389"/>
      <c r="EL8" s="389"/>
      <c r="EM8" s="389"/>
      <c r="EN8" s="389"/>
    </row>
    <row r="9" spans="1:144" s="392" customFormat="1" ht="15" customHeight="1" x14ac:dyDescent="0.2">
      <c r="A9" s="249"/>
      <c r="B9" s="390">
        <v>25</v>
      </c>
      <c r="C9" s="394">
        <v>2</v>
      </c>
      <c r="D9" s="391" t="s">
        <v>541</v>
      </c>
      <c r="E9" s="260" t="s">
        <v>60</v>
      </c>
      <c r="F9" s="579"/>
      <c r="G9" s="597"/>
      <c r="H9" s="579"/>
      <c r="I9" s="597"/>
      <c r="J9" s="579"/>
      <c r="K9" s="597"/>
      <c r="L9" s="579"/>
      <c r="M9" s="597"/>
      <c r="N9" s="579"/>
      <c r="O9" s="597"/>
      <c r="P9" s="579"/>
      <c r="Q9" s="597"/>
      <c r="R9" s="579"/>
      <c r="S9" s="597"/>
      <c r="T9" s="579"/>
      <c r="U9" s="597"/>
      <c r="V9" s="579"/>
      <c r="W9" s="597"/>
      <c r="X9" s="579"/>
      <c r="Y9" s="597"/>
      <c r="Z9" s="579"/>
      <c r="AA9" s="597"/>
      <c r="AB9" s="579"/>
      <c r="AC9" s="597"/>
      <c r="AD9" s="579"/>
      <c r="AE9" s="597"/>
      <c r="AF9" s="579"/>
      <c r="AG9" s="597"/>
      <c r="AH9" s="579"/>
      <c r="AI9" s="597"/>
      <c r="AJ9" s="579"/>
      <c r="AK9" s="597"/>
      <c r="AL9" s="579"/>
      <c r="AM9" s="597"/>
      <c r="AN9" s="579"/>
      <c r="AO9" s="597"/>
      <c r="AP9" s="579"/>
      <c r="AQ9" s="597"/>
      <c r="AR9" s="689"/>
      <c r="AS9" s="597"/>
      <c r="AT9" s="579">
        <v>59661.56729114375</v>
      </c>
      <c r="AU9" s="597" t="s">
        <v>21</v>
      </c>
      <c r="AV9" s="579">
        <v>62757.133855090142</v>
      </c>
      <c r="AW9" s="597" t="s">
        <v>21</v>
      </c>
      <c r="AX9" s="579">
        <v>64657.515001048188</v>
      </c>
      <c r="AY9" s="597" t="s">
        <v>21</v>
      </c>
      <c r="AZ9" s="579"/>
      <c r="BA9" s="597"/>
      <c r="BC9" s="395"/>
      <c r="BD9" s="612">
        <v>2</v>
      </c>
      <c r="BE9" s="315" t="s">
        <v>476</v>
      </c>
      <c r="BF9" s="81" t="s">
        <v>462</v>
      </c>
      <c r="BG9" s="79" t="s">
        <v>466</v>
      </c>
      <c r="BH9" s="266"/>
      <c r="BI9" s="79" t="str">
        <f>IF(OR(ISBLANK(F9),ISBLANK(H9)),"N/A",IF(ABS((H9-F9)/F9)&gt;1,"&gt; 100%","ok"))</f>
        <v>N/A</v>
      </c>
      <c r="BJ9" s="266"/>
      <c r="BK9" s="79" t="str">
        <f>IF(OR(ISBLANK(H9),ISBLANK(J9)),"N/A",IF(ABS((J9-H9)/H9)&gt;0.25,"&gt; 25%","ok"))</f>
        <v>N/A</v>
      </c>
      <c r="BL9" s="79"/>
      <c r="BM9" s="79" t="str">
        <f>IF(OR(ISBLANK(J9),ISBLANK(L9)),"N/A",IF(ABS((L9-J9)/J9)&gt;0.25,"&gt; 25%","ok"))</f>
        <v>N/A</v>
      </c>
      <c r="BN9" s="79"/>
      <c r="BO9" s="79" t="str">
        <f>IF(OR(ISBLANK(L9),ISBLANK(N9)),"N/A",IF(ABS((N9-L9)/L9)&gt;0.25,"&gt; 25%","ok"))</f>
        <v>N/A</v>
      </c>
      <c r="BP9" s="79"/>
      <c r="BQ9" s="79" t="str">
        <f>IF(OR(ISBLANK(N9),ISBLANK(P9)),"N/A",IF(ABS((P9-N9)/N9)&gt;0.25,"&gt; 25%","ok"))</f>
        <v>N/A</v>
      </c>
      <c r="BR9" s="79"/>
      <c r="BS9" s="79" t="str">
        <f>IF(OR(ISBLANK(P9),ISBLANK(R9)),"N/A",IF(ABS((R9-P9)/P9)&gt;0.25,"&gt; 25%","ok"))</f>
        <v>N/A</v>
      </c>
      <c r="BT9" s="79"/>
      <c r="BU9" s="79" t="str">
        <f>IF(OR(ISBLANK(R9),ISBLANK(T9)),"N/A",IF(ABS((T9-R9)/R9)&gt;0.25,"&gt; 25%","ok"))</f>
        <v>N/A</v>
      </c>
      <c r="BV9" s="79"/>
      <c r="BW9" s="79" t="str">
        <f>IF(OR(ISBLANK(T9),ISBLANK(V9)),"N/A",IF(ABS((V9-T9)/T9)&gt;0.25,"&gt; 25%","ok"))</f>
        <v>N/A</v>
      </c>
      <c r="BX9" s="79"/>
      <c r="BY9" s="79" t="str">
        <f>IF(OR(ISBLANK(V9),ISBLANK(X9)),"N/A",IF(ABS((X9-V9)/V9)&gt;0.25,"&gt; 25%","ok"))</f>
        <v>N/A</v>
      </c>
      <c r="BZ9" s="79"/>
      <c r="CA9" s="79" t="str">
        <f>IF(OR(ISBLANK(X9),ISBLANK(Z9)),"N/A",IF(ABS((Z9-X9)/X9)&gt;0.25,"&gt; 25%","ok"))</f>
        <v>N/A</v>
      </c>
      <c r="CB9" s="79"/>
      <c r="CC9" s="79" t="str">
        <f>IF(OR(ISBLANK(Z9),ISBLANK(AB9)),"N/A",IF(ABS((AB9-Z9)/Z9)&gt;0.25,"&gt; 25%","ok"))</f>
        <v>N/A</v>
      </c>
      <c r="CD9" s="79"/>
      <c r="CE9" s="79" t="str">
        <f>IF(OR(ISBLANK(AB9),ISBLANK(AD9)),"N/A",IF(ABS((AD9-AB9)/AB9)&gt;0.25,"&gt; 25%","ok"))</f>
        <v>N/A</v>
      </c>
      <c r="CF9" s="79"/>
      <c r="CG9" s="79" t="str">
        <f>IF(OR(ISBLANK(AD9),ISBLANK(AF9)),"N/A",IF(ABS((AF9-AD9)/AD9)&gt;0.25,"&gt; 25%","ok"))</f>
        <v>N/A</v>
      </c>
      <c r="CH9" s="79"/>
      <c r="CI9" s="79" t="str">
        <f>IF(OR(ISBLANK(AF9),ISBLANK(AH9)),"N/A",IF(ABS((AH9-AF9)/AF9)&gt;0.25,"&gt; 25%","ok"))</f>
        <v>N/A</v>
      </c>
      <c r="CJ9" s="79"/>
      <c r="CK9" s="79" t="str">
        <f>IF(OR(ISBLANK(AH9),ISBLANK(AJ9)),"N/A",IF(ABS((AJ9-AH9)/AH9)&gt;0.25,"&gt; 25%","ok"))</f>
        <v>N/A</v>
      </c>
      <c r="CL9" s="79"/>
      <c r="CM9" s="79" t="str">
        <f>IF(OR(ISBLANK(AJ9),ISBLANK(AL9)),"N/A",IF(ABS((AL9-AJ9)/AJ9)&gt;0.25,"&gt; 25%","ok"))</f>
        <v>N/A</v>
      </c>
      <c r="CN9" s="79"/>
      <c r="CO9" s="79" t="str">
        <f>IF(OR(ISBLANK(AL9),ISBLANK(AN9)),"N/A",IF(ABS((AN9-AL9)/AL9)&gt;0.25,"&gt; 25%","ok"))</f>
        <v>N/A</v>
      </c>
      <c r="CP9" s="79"/>
      <c r="CQ9" s="79" t="str">
        <f t="shared" ref="CQ9:CQ38" si="0">IF(OR(ISBLANK(AN9),ISBLANK(AP9)),"N/A",IF(ABS((AP9-AN9)/AN9)&gt;0.25,"&gt; 25%","ok"))</f>
        <v>N/A</v>
      </c>
      <c r="CR9" s="79"/>
      <c r="CS9" s="79" t="str">
        <f>IF(OR(ISBLANK(AP9),ISBLANK(AR9)),"N/A",IF(ABS((AR9-AP9)/AP9)&gt;0.25,"&gt; 25%","ok"))</f>
        <v>N/A</v>
      </c>
      <c r="CT9" s="79"/>
      <c r="CU9" s="79" t="str">
        <f>IF(OR(ISBLANK(AR9),ISBLANK(AT9)),"N/A",IF(ABS((AT9-AR9)/AR9)&gt;0.25,"&gt; 25%","ok"))</f>
        <v>N/A</v>
      </c>
      <c r="CV9" s="79"/>
      <c r="CW9" s="79" t="str">
        <f>IF(OR(ISBLANK(AT9),ISBLANK(AV9)),"N/A",IF(ABS((AV9-AT9)/AT9)&gt;0.25,"&gt; 25%","ok"))</f>
        <v>ok</v>
      </c>
      <c r="CX9" s="79"/>
      <c r="CY9" s="79" t="str">
        <f>IF(OR(ISBLANK(AV9),ISBLANK(AX9)),"N/A",IF(ABS((AX9-AV9)/AV9)&gt;0.25,"&gt; 25%","ok"))</f>
        <v>ok</v>
      </c>
      <c r="CZ9" s="79"/>
      <c r="DA9" s="79" t="str">
        <f t="shared" ref="DA9:DA38" si="1">IF(OR(ISBLANK(AX9),ISBLANK(AZ9)),"N/A",IF(ABS((AZ9-AX9)/AX9)&gt;0.25,"&gt; 25%","ok"))</f>
        <v>N/A</v>
      </c>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row>
    <row r="10" spans="1:144" s="400" customFormat="1" ht="22.9" customHeight="1" x14ac:dyDescent="0.2">
      <c r="A10" s="396" t="s">
        <v>457</v>
      </c>
      <c r="B10" s="397">
        <v>5001</v>
      </c>
      <c r="C10" s="398">
        <v>3</v>
      </c>
      <c r="D10" s="399" t="s">
        <v>409</v>
      </c>
      <c r="E10" s="260" t="s">
        <v>60</v>
      </c>
      <c r="F10" s="572"/>
      <c r="G10" s="593"/>
      <c r="H10" s="572"/>
      <c r="I10" s="593"/>
      <c r="J10" s="572"/>
      <c r="K10" s="593"/>
      <c r="L10" s="572"/>
      <c r="M10" s="593"/>
      <c r="N10" s="572"/>
      <c r="O10" s="593"/>
      <c r="P10" s="572"/>
      <c r="Q10" s="593"/>
      <c r="R10" s="572"/>
      <c r="S10" s="593"/>
      <c r="T10" s="572"/>
      <c r="U10" s="593"/>
      <c r="V10" s="572"/>
      <c r="W10" s="593"/>
      <c r="X10" s="572"/>
      <c r="Y10" s="593"/>
      <c r="Z10" s="572"/>
      <c r="AA10" s="593"/>
      <c r="AB10" s="572"/>
      <c r="AC10" s="593"/>
      <c r="AD10" s="572"/>
      <c r="AE10" s="593"/>
      <c r="AF10" s="572"/>
      <c r="AG10" s="593"/>
      <c r="AH10" s="572"/>
      <c r="AI10" s="593"/>
      <c r="AJ10" s="572"/>
      <c r="AK10" s="593"/>
      <c r="AL10" s="572"/>
      <c r="AM10" s="593"/>
      <c r="AN10" s="572"/>
      <c r="AO10" s="593"/>
      <c r="AP10" s="572"/>
      <c r="AQ10" s="593"/>
      <c r="AR10" s="690"/>
      <c r="AS10" s="593"/>
      <c r="AT10" s="572">
        <f>AT9+AT8</f>
        <v>139957.24116679913</v>
      </c>
      <c r="AU10" s="593" t="s">
        <v>21</v>
      </c>
      <c r="AV10" s="572">
        <f>AV9+AV8</f>
        <v>143598.05283136433</v>
      </c>
      <c r="AW10" s="593" t="s">
        <v>21</v>
      </c>
      <c r="AX10" s="572">
        <f>AX9+AX8</f>
        <v>154283.51529388927</v>
      </c>
      <c r="AY10" s="593" t="s">
        <v>21</v>
      </c>
      <c r="AZ10" s="572"/>
      <c r="BA10" s="593"/>
      <c r="BC10" s="401"/>
      <c r="BD10" s="642">
        <v>3</v>
      </c>
      <c r="BE10" s="403" t="s">
        <v>477</v>
      </c>
      <c r="BF10" s="81" t="s">
        <v>462</v>
      </c>
      <c r="BG10" s="107" t="s">
        <v>466</v>
      </c>
      <c r="BH10" s="404"/>
      <c r="BI10" s="79" t="str">
        <f t="shared" ref="BI10:BI38" si="2">IF(OR(ISBLANK(F10),ISBLANK(H10)),"N/A",IF(ABS((H10-F10)/F10)&gt;1,"&gt; 100%","ok"))</f>
        <v>N/A</v>
      </c>
      <c r="BJ10" s="266"/>
      <c r="BK10" s="79" t="str">
        <f>IF(OR(ISBLANK(H10),ISBLANK(J10)),"N/A",IF(ABS((J10-H10)/H10)&gt;0.25,"&gt; 25%","ok"))</f>
        <v>N/A</v>
      </c>
      <c r="BL10" s="79"/>
      <c r="BM10" s="79" t="str">
        <f>IF(OR(ISBLANK(J10),ISBLANK(L10)),"N/A",IF(ABS((L10-J10)/J10)&gt;0.25,"&gt; 25%","ok"))</f>
        <v>N/A</v>
      </c>
      <c r="BN10" s="79"/>
      <c r="BO10" s="79" t="str">
        <f>IF(OR(ISBLANK(L10),ISBLANK(N10)),"N/A",IF(ABS((N10-L10)/L10)&gt;0.25,"&gt; 25%","ok"))</f>
        <v>N/A</v>
      </c>
      <c r="BP10" s="79"/>
      <c r="BQ10" s="79" t="str">
        <f>IF(OR(ISBLANK(N10),ISBLANK(P10)),"N/A",IF(ABS((P10-N10)/N10)&gt;0.25,"&gt; 25%","ok"))</f>
        <v>N/A</v>
      </c>
      <c r="BR10" s="79"/>
      <c r="BS10" s="79" t="str">
        <f t="shared" ref="BS10:BS38" si="3">IF(OR(ISBLANK(P10),ISBLANK(R10)),"N/A",IF(ABS((R10-P10)/P10)&gt;0.25,"&gt; 25%","ok"))</f>
        <v>N/A</v>
      </c>
      <c r="BT10" s="79"/>
      <c r="BU10" s="79" t="str">
        <f t="shared" ref="BU10:BU38" si="4">IF(OR(ISBLANK(R10),ISBLANK(T10)),"N/A",IF(ABS((T10-R10)/R10)&gt;0.25,"&gt; 25%","ok"))</f>
        <v>N/A</v>
      </c>
      <c r="BV10" s="79"/>
      <c r="BW10" s="79" t="str">
        <f t="shared" ref="BW10:BW38" si="5">IF(OR(ISBLANK(T10),ISBLANK(V10)),"N/A",IF(ABS((V10-T10)/T10)&gt;0.25,"&gt; 25%","ok"))</f>
        <v>N/A</v>
      </c>
      <c r="BX10" s="79"/>
      <c r="BY10" s="79" t="str">
        <f t="shared" ref="BY10:BY38" si="6">IF(OR(ISBLANK(V10),ISBLANK(X10)),"N/A",IF(ABS((X10-V10)/V10)&gt;0.25,"&gt; 25%","ok"))</f>
        <v>N/A</v>
      </c>
      <c r="BZ10" s="79"/>
      <c r="CA10" s="79" t="str">
        <f t="shared" ref="CA10:CA38" si="7">IF(OR(ISBLANK(X10),ISBLANK(Z10)),"N/A",IF(ABS((Z10-X10)/X10)&gt;0.25,"&gt; 25%","ok"))</f>
        <v>N/A</v>
      </c>
      <c r="CB10" s="79"/>
      <c r="CC10" s="79" t="str">
        <f t="shared" ref="CC10:CC38" si="8">IF(OR(ISBLANK(Z10),ISBLANK(AB10)),"N/A",IF(ABS((AB10-Z10)/Z10)&gt;0.25,"&gt; 25%","ok"))</f>
        <v>N/A</v>
      </c>
      <c r="CD10" s="79"/>
      <c r="CE10" s="79" t="str">
        <f t="shared" ref="CE10:CE38" si="9">IF(OR(ISBLANK(AB10),ISBLANK(AD10)),"N/A",IF(ABS((AD10-AB10)/AB10)&gt;0.25,"&gt; 25%","ok"))</f>
        <v>N/A</v>
      </c>
      <c r="CF10" s="79"/>
      <c r="CG10" s="79" t="str">
        <f t="shared" ref="CG10:CG38" si="10">IF(OR(ISBLANK(AD10),ISBLANK(AF10)),"N/A",IF(ABS((AF10-AD10)/AD10)&gt;0.25,"&gt; 25%","ok"))</f>
        <v>N/A</v>
      </c>
      <c r="CH10" s="79"/>
      <c r="CI10" s="79" t="str">
        <f t="shared" ref="CI10:CI38" si="11">IF(OR(ISBLANK(AF10),ISBLANK(AH10)),"N/A",IF(ABS((AH10-AF10)/AF10)&gt;0.25,"&gt; 25%","ok"))</f>
        <v>N/A</v>
      </c>
      <c r="CJ10" s="79"/>
      <c r="CK10" s="79" t="str">
        <f t="shared" ref="CK10:CK38" si="12">IF(OR(ISBLANK(AH10),ISBLANK(AJ10)),"N/A",IF(ABS((AJ10-AH10)/AH10)&gt;0.25,"&gt; 25%","ok"))</f>
        <v>N/A</v>
      </c>
      <c r="CL10" s="79"/>
      <c r="CM10" s="79" t="str">
        <f t="shared" ref="CM10:CM38" si="13">IF(OR(ISBLANK(AJ10),ISBLANK(AL10)),"N/A",IF(ABS((AL10-AJ10)/AJ10)&gt;0.25,"&gt; 25%","ok"))</f>
        <v>N/A</v>
      </c>
      <c r="CN10" s="79"/>
      <c r="CO10" s="79" t="str">
        <f t="shared" ref="CO10:CO38" si="14">IF(OR(ISBLANK(AL10),ISBLANK(AN10)),"N/A",IF(ABS((AN10-AL10)/AL10)&gt;0.25,"&gt; 25%","ok"))</f>
        <v>N/A</v>
      </c>
      <c r="CP10" s="79"/>
      <c r="CQ10" s="79" t="str">
        <f t="shared" si="0"/>
        <v>N/A</v>
      </c>
      <c r="CR10" s="79"/>
      <c r="CS10" s="79" t="str">
        <f t="shared" ref="CS10:CS38" si="15">IF(OR(ISBLANK(AP10),ISBLANK(AR10)),"N/A",IF(ABS((AR10-AP10)/AP10)&gt;0.25,"&gt; 25%","ok"))</f>
        <v>N/A</v>
      </c>
      <c r="CT10" s="79"/>
      <c r="CU10" s="79" t="str">
        <f t="shared" ref="CU10:CU38" si="16">IF(OR(ISBLANK(AR10),ISBLANK(AT10)),"N/A",IF(ABS((AT10-AR10)/AR10)&gt;0.25,"&gt; 25%","ok"))</f>
        <v>N/A</v>
      </c>
      <c r="CV10" s="79"/>
      <c r="CW10" s="79" t="str">
        <f>IF(OR(ISBLANK(AT10),ISBLANK(AV10)),"N/A",IF(ABS((AV10-AT10)/AT10)&gt;0.25,"&gt; 25%","ok"))</f>
        <v>ok</v>
      </c>
      <c r="CX10" s="79"/>
      <c r="CY10" s="79" t="str">
        <f>IF(OR(ISBLANK(AV10),ISBLANK(AX10)),"N/A",IF(ABS((AX10-AV10)/AV10)&gt;0.25,"&gt; 25%","ok"))</f>
        <v>ok</v>
      </c>
      <c r="CZ10" s="79"/>
      <c r="DA10" s="79" t="str">
        <f t="shared" si="1"/>
        <v>N/A</v>
      </c>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row>
    <row r="11" spans="1:144" s="406" customFormat="1" ht="15" customHeight="1" x14ac:dyDescent="0.2">
      <c r="A11" s="230"/>
      <c r="B11" s="390">
        <v>5002</v>
      </c>
      <c r="C11" s="394"/>
      <c r="D11" s="611" t="s">
        <v>123</v>
      </c>
      <c r="E11" s="612"/>
      <c r="F11" s="607"/>
      <c r="G11" s="608"/>
      <c r="H11" s="607"/>
      <c r="I11" s="608"/>
      <c r="J11" s="607"/>
      <c r="K11" s="608"/>
      <c r="L11" s="607"/>
      <c r="M11" s="608"/>
      <c r="N11" s="607"/>
      <c r="O11" s="608"/>
      <c r="P11" s="607"/>
      <c r="Q11" s="608"/>
      <c r="R11" s="607"/>
      <c r="S11" s="608"/>
      <c r="T11" s="607"/>
      <c r="U11" s="608"/>
      <c r="V11" s="607"/>
      <c r="W11" s="608"/>
      <c r="X11" s="607"/>
      <c r="Y11" s="608"/>
      <c r="Z11" s="607"/>
      <c r="AA11" s="608"/>
      <c r="AB11" s="607"/>
      <c r="AC11" s="608"/>
      <c r="AD11" s="607"/>
      <c r="AE11" s="608"/>
      <c r="AF11" s="607"/>
      <c r="AG11" s="608"/>
      <c r="AH11" s="607"/>
      <c r="AI11" s="608"/>
      <c r="AJ11" s="607"/>
      <c r="AK11" s="608"/>
      <c r="AL11" s="607"/>
      <c r="AM11" s="608"/>
      <c r="AN11" s="607"/>
      <c r="AO11" s="608"/>
      <c r="AP11" s="607"/>
      <c r="AQ11" s="608"/>
      <c r="AR11" s="691"/>
      <c r="AS11" s="608"/>
      <c r="AT11" s="607"/>
      <c r="AU11" s="608"/>
      <c r="AV11" s="607"/>
      <c r="AW11" s="608"/>
      <c r="AX11" s="607"/>
      <c r="AY11" s="608"/>
      <c r="AZ11" s="607"/>
      <c r="BA11" s="608"/>
      <c r="BC11" s="233"/>
      <c r="BD11" s="612"/>
      <c r="BE11" s="407" t="s">
        <v>330</v>
      </c>
      <c r="BF11" s="81"/>
      <c r="BG11" s="79"/>
      <c r="BH11" s="266"/>
      <c r="BI11" s="79"/>
      <c r="BJ11" s="266"/>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row>
    <row r="12" spans="1:144" s="406" customFormat="1" ht="15" customHeight="1" x14ac:dyDescent="0.2">
      <c r="A12" s="230"/>
      <c r="B12" s="390">
        <v>255</v>
      </c>
      <c r="C12" s="394">
        <v>4</v>
      </c>
      <c r="D12" s="408" t="s">
        <v>527</v>
      </c>
      <c r="E12" s="260" t="s">
        <v>60</v>
      </c>
      <c r="F12" s="579"/>
      <c r="G12" s="597"/>
      <c r="H12" s="579"/>
      <c r="I12" s="597"/>
      <c r="J12" s="579"/>
      <c r="K12" s="597"/>
      <c r="L12" s="579"/>
      <c r="M12" s="597"/>
      <c r="N12" s="579"/>
      <c r="O12" s="597"/>
      <c r="P12" s="579"/>
      <c r="Q12" s="597"/>
      <c r="R12" s="579"/>
      <c r="S12" s="597"/>
      <c r="T12" s="579"/>
      <c r="U12" s="597"/>
      <c r="V12" s="579"/>
      <c r="W12" s="597"/>
      <c r="X12" s="579"/>
      <c r="Y12" s="597"/>
      <c r="Z12" s="579"/>
      <c r="AA12" s="597"/>
      <c r="AB12" s="579"/>
      <c r="AC12" s="597"/>
      <c r="AD12" s="579"/>
      <c r="AE12" s="597"/>
      <c r="AF12" s="579"/>
      <c r="AG12" s="597"/>
      <c r="AH12" s="579"/>
      <c r="AI12" s="597"/>
      <c r="AJ12" s="579"/>
      <c r="AK12" s="597"/>
      <c r="AL12" s="579"/>
      <c r="AM12" s="597"/>
      <c r="AN12" s="579"/>
      <c r="AO12" s="597"/>
      <c r="AP12" s="579"/>
      <c r="AQ12" s="597"/>
      <c r="AR12" s="689"/>
      <c r="AS12" s="597"/>
      <c r="AT12" s="579">
        <v>3000.1023156692518</v>
      </c>
      <c r="AU12" s="597" t="s">
        <v>681</v>
      </c>
      <c r="AV12" s="579">
        <v>3052.4692898072599</v>
      </c>
      <c r="AW12" s="597" t="s">
        <v>681</v>
      </c>
      <c r="AX12" s="579">
        <v>2976.0232058849501</v>
      </c>
      <c r="AY12" s="597" t="s">
        <v>681</v>
      </c>
      <c r="AZ12" s="579"/>
      <c r="BA12" s="597"/>
      <c r="BC12" s="233"/>
      <c r="BD12" s="612">
        <v>4</v>
      </c>
      <c r="BE12" s="409" t="s">
        <v>481</v>
      </c>
      <c r="BF12" s="81" t="s">
        <v>462</v>
      </c>
      <c r="BG12" s="79" t="s">
        <v>466</v>
      </c>
      <c r="BH12" s="266"/>
      <c r="BI12" s="79" t="str">
        <f t="shared" si="2"/>
        <v>N/A</v>
      </c>
      <c r="BJ12" s="266"/>
      <c r="BK12" s="79" t="str">
        <f t="shared" ref="BK12:BK28" si="17">IF(OR(ISBLANK(H12),ISBLANK(J12)),"N/A",IF(ABS((J12-H12)/H12)&gt;0.25,"&gt; 25%","ok"))</f>
        <v>N/A</v>
      </c>
      <c r="BL12" s="79"/>
      <c r="BM12" s="79" t="str">
        <f t="shared" ref="BM12:BM28" si="18">IF(OR(ISBLANK(J12),ISBLANK(L12)),"N/A",IF(ABS((L12-J12)/J12)&gt;0.25,"&gt; 25%","ok"))</f>
        <v>N/A</v>
      </c>
      <c r="BN12" s="79"/>
      <c r="BO12" s="79" t="str">
        <f t="shared" ref="BO12:BO28" si="19">IF(OR(ISBLANK(L12),ISBLANK(N12)),"N/A",IF(ABS((N12-L12)/L12)&gt;0.25,"&gt; 25%","ok"))</f>
        <v>N/A</v>
      </c>
      <c r="BP12" s="79"/>
      <c r="BQ12" s="79" t="str">
        <f t="shared" ref="BQ12:BQ28" si="20">IF(OR(ISBLANK(N12),ISBLANK(P12)),"N/A",IF(ABS((P12-N12)/N12)&gt;0.25,"&gt; 25%","ok"))</f>
        <v>N/A</v>
      </c>
      <c r="BR12" s="79"/>
      <c r="BS12" s="79" t="str">
        <f t="shared" si="3"/>
        <v>N/A</v>
      </c>
      <c r="BT12" s="79"/>
      <c r="BU12" s="79" t="str">
        <f t="shared" si="4"/>
        <v>N/A</v>
      </c>
      <c r="BV12" s="79"/>
      <c r="BW12" s="79" t="str">
        <f t="shared" si="5"/>
        <v>N/A</v>
      </c>
      <c r="BX12" s="79"/>
      <c r="BY12" s="79" t="str">
        <f t="shared" si="6"/>
        <v>N/A</v>
      </c>
      <c r="BZ12" s="79"/>
      <c r="CA12" s="79" t="str">
        <f t="shared" si="7"/>
        <v>N/A</v>
      </c>
      <c r="CB12" s="79"/>
      <c r="CC12" s="79" t="str">
        <f t="shared" si="8"/>
        <v>N/A</v>
      </c>
      <c r="CD12" s="79"/>
      <c r="CE12" s="79" t="str">
        <f t="shared" si="9"/>
        <v>N/A</v>
      </c>
      <c r="CF12" s="79"/>
      <c r="CG12" s="79" t="str">
        <f t="shared" si="10"/>
        <v>N/A</v>
      </c>
      <c r="CH12" s="79"/>
      <c r="CI12" s="79" t="str">
        <f t="shared" si="11"/>
        <v>N/A</v>
      </c>
      <c r="CJ12" s="79"/>
      <c r="CK12" s="79" t="str">
        <f t="shared" si="12"/>
        <v>N/A</v>
      </c>
      <c r="CL12" s="79"/>
      <c r="CM12" s="79" t="str">
        <f t="shared" si="13"/>
        <v>N/A</v>
      </c>
      <c r="CN12" s="79"/>
      <c r="CO12" s="79" t="str">
        <f t="shared" si="14"/>
        <v>N/A</v>
      </c>
      <c r="CP12" s="79"/>
      <c r="CQ12" s="79" t="str">
        <f t="shared" si="0"/>
        <v>N/A</v>
      </c>
      <c r="CR12" s="79"/>
      <c r="CS12" s="79" t="str">
        <f t="shared" si="15"/>
        <v>N/A</v>
      </c>
      <c r="CT12" s="79"/>
      <c r="CU12" s="79" t="str">
        <f t="shared" si="16"/>
        <v>N/A</v>
      </c>
      <c r="CV12" s="79"/>
      <c r="CW12" s="79" t="str">
        <f t="shared" ref="CW12:CW28" si="21">IF(OR(ISBLANK(AT12),ISBLANK(AV12)),"N/A",IF(ABS((AV12-AT12)/AT12)&gt;0.25,"&gt; 25%","ok"))</f>
        <v>ok</v>
      </c>
      <c r="CX12" s="79"/>
      <c r="CY12" s="79" t="str">
        <f t="shared" ref="CY12:CY28" si="22">IF(OR(ISBLANK(AV12),ISBLANK(AX12)),"N/A",IF(ABS((AX12-AV12)/AV12)&gt;0.25,"&gt; 25%","ok"))</f>
        <v>ok</v>
      </c>
      <c r="CZ12" s="79"/>
      <c r="DA12" s="79" t="str">
        <f t="shared" si="1"/>
        <v>N/A</v>
      </c>
      <c r="DB12" s="357"/>
      <c r="DC12" s="357"/>
      <c r="DD12" s="357"/>
      <c r="DE12" s="357"/>
      <c r="DF12" s="357"/>
      <c r="DG12" s="357"/>
      <c r="DH12" s="357"/>
      <c r="DI12" s="357"/>
      <c r="DJ12" s="357"/>
      <c r="DK12" s="357"/>
      <c r="DL12" s="357"/>
      <c r="DM12" s="357"/>
      <c r="DN12" s="357"/>
      <c r="DO12" s="357"/>
      <c r="DP12" s="357"/>
      <c r="DQ12" s="357"/>
      <c r="DR12" s="357"/>
      <c r="DS12" s="357"/>
      <c r="DT12" s="357"/>
      <c r="DU12" s="357"/>
      <c r="DV12" s="357"/>
      <c r="DW12" s="357"/>
      <c r="DX12" s="357"/>
      <c r="DY12" s="357"/>
      <c r="DZ12" s="357"/>
      <c r="EA12" s="357"/>
      <c r="EB12" s="357"/>
      <c r="EC12" s="357"/>
      <c r="ED12" s="357"/>
      <c r="EE12" s="357"/>
      <c r="EF12" s="357"/>
      <c r="EG12" s="357"/>
      <c r="EH12" s="357"/>
      <c r="EI12" s="357"/>
      <c r="EJ12" s="357"/>
      <c r="EK12" s="357"/>
      <c r="EL12" s="357"/>
      <c r="EM12" s="357"/>
      <c r="EN12" s="357"/>
    </row>
    <row r="13" spans="1:144" s="406" customFormat="1" ht="15" customHeight="1" x14ac:dyDescent="0.2">
      <c r="A13" s="230"/>
      <c r="B13" s="390">
        <v>256</v>
      </c>
      <c r="C13" s="394">
        <v>5</v>
      </c>
      <c r="D13" s="408" t="s">
        <v>528</v>
      </c>
      <c r="E13" s="260" t="s">
        <v>60</v>
      </c>
      <c r="F13" s="579"/>
      <c r="G13" s="597"/>
      <c r="H13" s="579"/>
      <c r="I13" s="597"/>
      <c r="J13" s="579"/>
      <c r="K13" s="597"/>
      <c r="L13" s="579"/>
      <c r="M13" s="597"/>
      <c r="N13" s="579"/>
      <c r="O13" s="597"/>
      <c r="P13" s="579"/>
      <c r="Q13" s="597"/>
      <c r="R13" s="579"/>
      <c r="S13" s="597"/>
      <c r="T13" s="579"/>
      <c r="U13" s="597"/>
      <c r="V13" s="579"/>
      <c r="W13" s="597"/>
      <c r="X13" s="579"/>
      <c r="Y13" s="597"/>
      <c r="Z13" s="579"/>
      <c r="AA13" s="597"/>
      <c r="AB13" s="579"/>
      <c r="AC13" s="597"/>
      <c r="AD13" s="579"/>
      <c r="AE13" s="597"/>
      <c r="AF13" s="579"/>
      <c r="AG13" s="597"/>
      <c r="AH13" s="579"/>
      <c r="AI13" s="597"/>
      <c r="AJ13" s="579"/>
      <c r="AK13" s="597"/>
      <c r="AL13" s="579"/>
      <c r="AM13" s="597"/>
      <c r="AN13" s="579"/>
      <c r="AO13" s="597"/>
      <c r="AP13" s="579"/>
      <c r="AQ13" s="597"/>
      <c r="AR13" s="689"/>
      <c r="AS13" s="597"/>
      <c r="AT13" s="579">
        <v>2385.9176060321051</v>
      </c>
      <c r="AU13" s="597" t="s">
        <v>681</v>
      </c>
      <c r="AV13" s="579">
        <v>2436.9749653281651</v>
      </c>
      <c r="AW13" s="597" t="s">
        <v>681</v>
      </c>
      <c r="AX13" s="579">
        <v>2292.2356744486406</v>
      </c>
      <c r="AY13" s="597" t="s">
        <v>681</v>
      </c>
      <c r="AZ13" s="579"/>
      <c r="BA13" s="597"/>
      <c r="BC13" s="233"/>
      <c r="BD13" s="612">
        <v>5</v>
      </c>
      <c r="BE13" s="409" t="s">
        <v>276</v>
      </c>
      <c r="BF13" s="81" t="s">
        <v>462</v>
      </c>
      <c r="BG13" s="79" t="s">
        <v>466</v>
      </c>
      <c r="BH13" s="266"/>
      <c r="BI13" s="79" t="str">
        <f t="shared" si="2"/>
        <v>N/A</v>
      </c>
      <c r="BJ13" s="266"/>
      <c r="BK13" s="79" t="str">
        <f t="shared" si="17"/>
        <v>N/A</v>
      </c>
      <c r="BL13" s="79"/>
      <c r="BM13" s="79" t="str">
        <f t="shared" si="18"/>
        <v>N/A</v>
      </c>
      <c r="BN13" s="79"/>
      <c r="BO13" s="79" t="str">
        <f t="shared" si="19"/>
        <v>N/A</v>
      </c>
      <c r="BP13" s="79"/>
      <c r="BQ13" s="79" t="str">
        <f t="shared" si="20"/>
        <v>N/A</v>
      </c>
      <c r="BR13" s="79"/>
      <c r="BS13" s="79" t="str">
        <f t="shared" si="3"/>
        <v>N/A</v>
      </c>
      <c r="BT13" s="79"/>
      <c r="BU13" s="79" t="str">
        <f t="shared" si="4"/>
        <v>N/A</v>
      </c>
      <c r="BV13" s="79"/>
      <c r="BW13" s="79" t="str">
        <f t="shared" si="5"/>
        <v>N/A</v>
      </c>
      <c r="BX13" s="79"/>
      <c r="BY13" s="79" t="str">
        <f t="shared" si="6"/>
        <v>N/A</v>
      </c>
      <c r="BZ13" s="79"/>
      <c r="CA13" s="79" t="str">
        <f t="shared" si="7"/>
        <v>N/A</v>
      </c>
      <c r="CB13" s="79"/>
      <c r="CC13" s="79" t="str">
        <f t="shared" si="8"/>
        <v>N/A</v>
      </c>
      <c r="CD13" s="79"/>
      <c r="CE13" s="79" t="str">
        <f t="shared" si="9"/>
        <v>N/A</v>
      </c>
      <c r="CF13" s="79"/>
      <c r="CG13" s="79" t="str">
        <f t="shared" si="10"/>
        <v>N/A</v>
      </c>
      <c r="CH13" s="79"/>
      <c r="CI13" s="79" t="str">
        <f t="shared" si="11"/>
        <v>N/A</v>
      </c>
      <c r="CJ13" s="79"/>
      <c r="CK13" s="79" t="str">
        <f t="shared" si="12"/>
        <v>N/A</v>
      </c>
      <c r="CL13" s="79"/>
      <c r="CM13" s="79" t="str">
        <f t="shared" si="13"/>
        <v>N/A</v>
      </c>
      <c r="CN13" s="79"/>
      <c r="CO13" s="79" t="str">
        <f t="shared" si="14"/>
        <v>N/A</v>
      </c>
      <c r="CP13" s="79"/>
      <c r="CQ13" s="79" t="str">
        <f t="shared" si="0"/>
        <v>N/A</v>
      </c>
      <c r="CR13" s="79"/>
      <c r="CS13" s="79" t="str">
        <f t="shared" si="15"/>
        <v>N/A</v>
      </c>
      <c r="CT13" s="79"/>
      <c r="CU13" s="79" t="str">
        <f t="shared" si="16"/>
        <v>N/A</v>
      </c>
      <c r="CV13" s="79"/>
      <c r="CW13" s="79" t="str">
        <f t="shared" si="21"/>
        <v>ok</v>
      </c>
      <c r="CX13" s="79"/>
      <c r="CY13" s="79" t="str">
        <f t="shared" si="22"/>
        <v>ok</v>
      </c>
      <c r="CZ13" s="79"/>
      <c r="DA13" s="79" t="str">
        <f t="shared" si="1"/>
        <v>N/A</v>
      </c>
      <c r="DB13" s="357"/>
      <c r="DC13" s="357"/>
      <c r="DD13" s="357"/>
      <c r="DE13" s="357"/>
      <c r="DF13" s="357"/>
      <c r="DG13" s="357"/>
      <c r="DH13" s="357"/>
      <c r="DI13" s="357"/>
      <c r="DJ13" s="357"/>
      <c r="DK13" s="357"/>
      <c r="DL13" s="357"/>
      <c r="DM13" s="357"/>
      <c r="DN13" s="357"/>
      <c r="DO13" s="357"/>
      <c r="DP13" s="357"/>
      <c r="DQ13" s="357"/>
      <c r="DR13" s="357"/>
      <c r="DS13" s="357"/>
      <c r="DT13" s="357"/>
      <c r="DU13" s="357"/>
      <c r="DV13" s="357"/>
      <c r="DW13" s="357"/>
      <c r="DX13" s="357"/>
      <c r="DY13" s="357"/>
      <c r="DZ13" s="357"/>
      <c r="EA13" s="357"/>
      <c r="EB13" s="357"/>
      <c r="EC13" s="357"/>
      <c r="ED13" s="357"/>
      <c r="EE13" s="357"/>
      <c r="EF13" s="357"/>
      <c r="EG13" s="357"/>
      <c r="EH13" s="357"/>
      <c r="EI13" s="357"/>
      <c r="EJ13" s="357"/>
      <c r="EK13" s="357"/>
      <c r="EL13" s="357"/>
      <c r="EM13" s="357"/>
      <c r="EN13" s="357"/>
    </row>
    <row r="14" spans="1:144" s="406" customFormat="1" ht="15" customHeight="1" x14ac:dyDescent="0.2">
      <c r="A14" s="230"/>
      <c r="B14" s="390">
        <v>257</v>
      </c>
      <c r="C14" s="394">
        <v>6</v>
      </c>
      <c r="D14" s="408" t="s">
        <v>124</v>
      </c>
      <c r="E14" s="260" t="s">
        <v>60</v>
      </c>
      <c r="F14" s="579"/>
      <c r="G14" s="597"/>
      <c r="H14" s="579"/>
      <c r="I14" s="597"/>
      <c r="J14" s="579"/>
      <c r="K14" s="597"/>
      <c r="L14" s="579"/>
      <c r="M14" s="597"/>
      <c r="N14" s="579"/>
      <c r="O14" s="597"/>
      <c r="P14" s="579"/>
      <c r="Q14" s="597"/>
      <c r="R14" s="579"/>
      <c r="S14" s="597"/>
      <c r="T14" s="579"/>
      <c r="U14" s="597"/>
      <c r="V14" s="579"/>
      <c r="W14" s="597"/>
      <c r="X14" s="579"/>
      <c r="Y14" s="597"/>
      <c r="Z14" s="579"/>
      <c r="AA14" s="597"/>
      <c r="AB14" s="579"/>
      <c r="AC14" s="597"/>
      <c r="AD14" s="579"/>
      <c r="AE14" s="597"/>
      <c r="AF14" s="579"/>
      <c r="AG14" s="597"/>
      <c r="AH14" s="579"/>
      <c r="AI14" s="597"/>
      <c r="AJ14" s="579"/>
      <c r="AK14" s="597"/>
      <c r="AL14" s="579"/>
      <c r="AM14" s="597"/>
      <c r="AN14" s="579"/>
      <c r="AO14" s="597"/>
      <c r="AP14" s="579"/>
      <c r="AQ14" s="597"/>
      <c r="AR14" s="689"/>
      <c r="AS14" s="597"/>
      <c r="AT14" s="579">
        <v>78766.305710567409</v>
      </c>
      <c r="AU14" s="597" t="s">
        <v>681</v>
      </c>
      <c r="AV14" s="579">
        <v>82859.717716090745</v>
      </c>
      <c r="AW14" s="597" t="s">
        <v>681</v>
      </c>
      <c r="AX14" s="579">
        <v>85219.733670646208</v>
      </c>
      <c r="AY14" s="597" t="s">
        <v>681</v>
      </c>
      <c r="AZ14" s="579"/>
      <c r="BA14" s="597"/>
      <c r="BC14" s="233"/>
      <c r="BD14" s="612">
        <v>6</v>
      </c>
      <c r="BE14" s="409" t="s">
        <v>474</v>
      </c>
      <c r="BF14" s="81" t="s">
        <v>462</v>
      </c>
      <c r="BG14" s="79" t="s">
        <v>466</v>
      </c>
      <c r="BH14" s="266"/>
      <c r="BI14" s="79" t="str">
        <f t="shared" si="2"/>
        <v>N/A</v>
      </c>
      <c r="BJ14" s="266"/>
      <c r="BK14" s="79" t="str">
        <f>IF(OR(ISBLANK(H14),ISBLANK(J14)),"N/A",IF(ABS((J14-H14)/H14)&gt;0.25,"&gt; 25%","ok"))</f>
        <v>N/A</v>
      </c>
      <c r="BL14" s="79"/>
      <c r="BM14" s="79" t="str">
        <f t="shared" si="18"/>
        <v>N/A</v>
      </c>
      <c r="BN14" s="79"/>
      <c r="BO14" s="79" t="str">
        <f t="shared" si="19"/>
        <v>N/A</v>
      </c>
      <c r="BP14" s="79"/>
      <c r="BQ14" s="79" t="str">
        <f t="shared" si="20"/>
        <v>N/A</v>
      </c>
      <c r="BR14" s="79"/>
      <c r="BS14" s="79" t="str">
        <f t="shared" si="3"/>
        <v>N/A</v>
      </c>
      <c r="BT14" s="79"/>
      <c r="BU14" s="79" t="str">
        <f t="shared" si="4"/>
        <v>N/A</v>
      </c>
      <c r="BV14" s="79"/>
      <c r="BW14" s="79" t="str">
        <f t="shared" si="5"/>
        <v>N/A</v>
      </c>
      <c r="BX14" s="79"/>
      <c r="BY14" s="79" t="str">
        <f t="shared" si="6"/>
        <v>N/A</v>
      </c>
      <c r="BZ14" s="79"/>
      <c r="CA14" s="79" t="str">
        <f t="shared" si="7"/>
        <v>N/A</v>
      </c>
      <c r="CB14" s="79"/>
      <c r="CC14" s="79" t="str">
        <f t="shared" si="8"/>
        <v>N/A</v>
      </c>
      <c r="CD14" s="79"/>
      <c r="CE14" s="79" t="str">
        <f t="shared" si="9"/>
        <v>N/A</v>
      </c>
      <c r="CF14" s="79"/>
      <c r="CG14" s="79" t="str">
        <f t="shared" si="10"/>
        <v>N/A</v>
      </c>
      <c r="CH14" s="79"/>
      <c r="CI14" s="79" t="str">
        <f t="shared" si="11"/>
        <v>N/A</v>
      </c>
      <c r="CJ14" s="79"/>
      <c r="CK14" s="79" t="str">
        <f t="shared" si="12"/>
        <v>N/A</v>
      </c>
      <c r="CL14" s="79"/>
      <c r="CM14" s="79" t="str">
        <f t="shared" si="13"/>
        <v>N/A</v>
      </c>
      <c r="CN14" s="79"/>
      <c r="CO14" s="79" t="str">
        <f t="shared" si="14"/>
        <v>N/A</v>
      </c>
      <c r="CP14" s="79"/>
      <c r="CQ14" s="79" t="str">
        <f t="shared" si="0"/>
        <v>N/A</v>
      </c>
      <c r="CR14" s="79"/>
      <c r="CS14" s="79" t="str">
        <f t="shared" si="15"/>
        <v>N/A</v>
      </c>
      <c r="CT14" s="79"/>
      <c r="CU14" s="79" t="str">
        <f t="shared" si="16"/>
        <v>N/A</v>
      </c>
      <c r="CV14" s="79"/>
      <c r="CW14" s="79" t="str">
        <f t="shared" si="21"/>
        <v>ok</v>
      </c>
      <c r="CX14" s="79"/>
      <c r="CY14" s="79" t="str">
        <f t="shared" si="22"/>
        <v>ok</v>
      </c>
      <c r="CZ14" s="79"/>
      <c r="DA14" s="79" t="str">
        <f t="shared" si="1"/>
        <v>N/A</v>
      </c>
      <c r="DB14" s="357"/>
      <c r="DC14" s="357"/>
      <c r="DD14" s="357"/>
      <c r="DE14" s="357"/>
      <c r="DF14" s="357"/>
      <c r="DG14" s="357"/>
      <c r="DH14" s="357"/>
      <c r="DI14" s="357"/>
      <c r="DJ14" s="357"/>
      <c r="DK14" s="357"/>
      <c r="DL14" s="357"/>
      <c r="DM14" s="357"/>
      <c r="DN14" s="357"/>
      <c r="DO14" s="357"/>
      <c r="DP14" s="357"/>
      <c r="DQ14" s="357"/>
      <c r="DR14" s="357"/>
      <c r="DS14" s="357"/>
      <c r="DT14" s="357"/>
      <c r="DU14" s="357"/>
      <c r="DV14" s="357"/>
      <c r="DW14" s="357"/>
      <c r="DX14" s="357"/>
      <c r="DY14" s="357"/>
      <c r="DZ14" s="357"/>
      <c r="EA14" s="357"/>
      <c r="EB14" s="357"/>
      <c r="EC14" s="357"/>
      <c r="ED14" s="357"/>
      <c r="EE14" s="357"/>
      <c r="EF14" s="357"/>
      <c r="EG14" s="357"/>
      <c r="EH14" s="357"/>
      <c r="EI14" s="357"/>
      <c r="EJ14" s="357"/>
      <c r="EK14" s="357"/>
      <c r="EL14" s="357"/>
      <c r="EM14" s="357"/>
      <c r="EN14" s="357"/>
    </row>
    <row r="15" spans="1:144" s="406" customFormat="1" ht="22.15" customHeight="1" x14ac:dyDescent="0.2">
      <c r="A15" s="230"/>
      <c r="B15" s="390">
        <v>263</v>
      </c>
      <c r="C15" s="394">
        <v>7</v>
      </c>
      <c r="D15" s="671" t="s">
        <v>577</v>
      </c>
      <c r="E15" s="260" t="s">
        <v>60</v>
      </c>
      <c r="F15" s="579"/>
      <c r="G15" s="597"/>
      <c r="H15" s="579"/>
      <c r="I15" s="597"/>
      <c r="J15" s="579"/>
      <c r="K15" s="597"/>
      <c r="L15" s="579"/>
      <c r="M15" s="597"/>
      <c r="N15" s="579"/>
      <c r="O15" s="597"/>
      <c r="P15" s="579"/>
      <c r="Q15" s="597"/>
      <c r="R15" s="579"/>
      <c r="S15" s="597"/>
      <c r="T15" s="579"/>
      <c r="U15" s="597"/>
      <c r="V15" s="579"/>
      <c r="W15" s="597"/>
      <c r="X15" s="579"/>
      <c r="Y15" s="597"/>
      <c r="Z15" s="579"/>
      <c r="AA15" s="597"/>
      <c r="AB15" s="579"/>
      <c r="AC15" s="597"/>
      <c r="AD15" s="579"/>
      <c r="AE15" s="597"/>
      <c r="AF15" s="579"/>
      <c r="AG15" s="597"/>
      <c r="AH15" s="579"/>
      <c r="AI15" s="597"/>
      <c r="AJ15" s="579"/>
      <c r="AK15" s="597"/>
      <c r="AL15" s="579"/>
      <c r="AM15" s="597"/>
      <c r="AN15" s="579"/>
      <c r="AO15" s="597"/>
      <c r="AP15" s="579"/>
      <c r="AQ15" s="597"/>
      <c r="AR15" s="689"/>
      <c r="AS15" s="597"/>
      <c r="AT15" s="579"/>
      <c r="AU15" s="597"/>
      <c r="AV15" s="579"/>
      <c r="AW15" s="597"/>
      <c r="AX15" s="579"/>
      <c r="AY15" s="597"/>
      <c r="AZ15" s="579"/>
      <c r="BA15" s="597"/>
      <c r="BC15" s="233"/>
      <c r="BD15" s="612">
        <v>7</v>
      </c>
      <c r="BE15" s="472" t="s">
        <v>583</v>
      </c>
      <c r="BF15" s="81" t="s">
        <v>462</v>
      </c>
      <c r="BG15" s="79"/>
      <c r="BH15" s="266"/>
      <c r="BI15" s="79" t="str">
        <f>IF(OR(ISBLANK(F15),ISBLANK(H15)),"N/A",IF(ABS((H15-F15)/F15)&gt;1,"&gt; 100%","ok"))</f>
        <v>N/A</v>
      </c>
      <c r="BJ15" s="266"/>
      <c r="BK15" s="79" t="str">
        <f>IF(OR(ISBLANK(H15),ISBLANK(J15)),"N/A",IF(ABS((J15-H15)/H15)&gt;0.25,"&gt; 25%","ok"))</f>
        <v>N/A</v>
      </c>
      <c r="BL15" s="79"/>
      <c r="BM15" s="79" t="str">
        <f>IF(OR(ISBLANK(J15),ISBLANK(L15)),"N/A",IF(ABS((L15-J15)/J15)&gt;0.25,"&gt; 25%","ok"))</f>
        <v>N/A</v>
      </c>
      <c r="BN15" s="79"/>
      <c r="BO15" s="79" t="str">
        <f>IF(OR(ISBLANK(L15),ISBLANK(N15)),"N/A",IF(ABS((N15-L15)/L15)&gt;0.25,"&gt; 25%","ok"))</f>
        <v>N/A</v>
      </c>
      <c r="BP15" s="79"/>
      <c r="BQ15" s="79" t="str">
        <f>IF(OR(ISBLANK(N15),ISBLANK(P15)),"N/A",IF(ABS((P15-N15)/N15)&gt;0.25,"&gt; 25%","ok"))</f>
        <v>N/A</v>
      </c>
      <c r="BR15" s="79"/>
      <c r="BS15" s="79" t="str">
        <f>IF(OR(ISBLANK(P15),ISBLANK(R15)),"N/A",IF(ABS((R15-P15)/P15)&gt;0.25,"&gt; 25%","ok"))</f>
        <v>N/A</v>
      </c>
      <c r="BT15" s="79"/>
      <c r="BU15" s="79" t="str">
        <f>IF(OR(ISBLANK(R15),ISBLANK(T15)),"N/A",IF(ABS((T15-R15)/R15)&gt;0.25,"&gt; 25%","ok"))</f>
        <v>N/A</v>
      </c>
      <c r="BV15" s="79"/>
      <c r="BW15" s="79" t="str">
        <f>IF(OR(ISBLANK(T15),ISBLANK(V15)),"N/A",IF(ABS((V15-T15)/T15)&gt;0.25,"&gt; 25%","ok"))</f>
        <v>N/A</v>
      </c>
      <c r="BX15" s="79"/>
      <c r="BY15" s="79" t="str">
        <f>IF(OR(ISBLANK(V15),ISBLANK(X15)),"N/A",IF(ABS((X15-V15)/V15)&gt;0.25,"&gt; 25%","ok"))</f>
        <v>N/A</v>
      </c>
      <c r="BZ15" s="79"/>
      <c r="CA15" s="79" t="str">
        <f>IF(OR(ISBLANK(X15),ISBLANK(Z15)),"N/A",IF(ABS((Z15-X15)/X15)&gt;0.25,"&gt; 25%","ok"))</f>
        <v>N/A</v>
      </c>
      <c r="CB15" s="79"/>
      <c r="CC15" s="79" t="str">
        <f>IF(OR(ISBLANK(Z15),ISBLANK(AB15)),"N/A",IF(ABS((AB15-Z15)/Z15)&gt;0.25,"&gt; 25%","ok"))</f>
        <v>N/A</v>
      </c>
      <c r="CD15" s="79"/>
      <c r="CE15" s="79" t="str">
        <f>IF(OR(ISBLANK(AB15),ISBLANK(AD15)),"N/A",IF(ABS((AD15-AB15)/AB15)&gt;0.25,"&gt; 25%","ok"))</f>
        <v>N/A</v>
      </c>
      <c r="CF15" s="79"/>
      <c r="CG15" s="79" t="str">
        <f>IF(OR(ISBLANK(AD15),ISBLANK(AF15)),"N/A",IF(ABS((AF15-AD15)/AD15)&gt;0.25,"&gt; 25%","ok"))</f>
        <v>N/A</v>
      </c>
      <c r="CH15" s="79"/>
      <c r="CI15" s="79" t="str">
        <f>IF(OR(ISBLANK(AF15),ISBLANK(AH15)),"N/A",IF(ABS((AH15-AF15)/AF15)&gt;0.25,"&gt; 25%","ok"))</f>
        <v>N/A</v>
      </c>
      <c r="CJ15" s="79"/>
      <c r="CK15" s="79" t="str">
        <f>IF(OR(ISBLANK(AH15),ISBLANK(AJ15)),"N/A",IF(ABS((AJ15-AH15)/AH15)&gt;0.25,"&gt; 25%","ok"))</f>
        <v>N/A</v>
      </c>
      <c r="CL15" s="79"/>
      <c r="CM15" s="79" t="str">
        <f>IF(OR(ISBLANK(AJ15),ISBLANK(AL15)),"N/A",IF(ABS((AL15-AJ15)/AJ15)&gt;0.25,"&gt; 25%","ok"))</f>
        <v>N/A</v>
      </c>
      <c r="CN15" s="79"/>
      <c r="CO15" s="79" t="str">
        <f>IF(OR(ISBLANK(AL15),ISBLANK(AN15)),"N/A",IF(ABS((AN15-AL15)/AL15)&gt;0.25,"&gt; 25%","ok"))</f>
        <v>N/A</v>
      </c>
      <c r="CP15" s="79"/>
      <c r="CQ15" s="79" t="str">
        <f>IF(OR(ISBLANK(AN15),ISBLANK(AP15)),"N/A",IF(ABS((AP15-AN15)/AN15)&gt;0.25,"&gt; 25%","ok"))</f>
        <v>N/A</v>
      </c>
      <c r="CR15" s="79"/>
      <c r="CS15" s="79" t="str">
        <f>IF(OR(ISBLANK(AP15),ISBLANK(AR15)),"N/A",IF(ABS((AR15-AP15)/AP15)&gt;0.25,"&gt; 25%","ok"))</f>
        <v>N/A</v>
      </c>
      <c r="CT15" s="79"/>
      <c r="CU15" s="79" t="str">
        <f>IF(OR(ISBLANK(AR15),ISBLANK(AT15)),"N/A",IF(ABS((AT15-AR15)/AR15)&gt;0.25,"&gt; 25%","ok"))</f>
        <v>N/A</v>
      </c>
      <c r="CV15" s="79"/>
      <c r="CW15" s="79" t="str">
        <f>IF(OR(ISBLANK(AT15),ISBLANK(AV15)),"N/A",IF(ABS((AV15-AT15)/AT15)&gt;0.25,"&gt; 25%","ok"))</f>
        <v>N/A</v>
      </c>
      <c r="CX15" s="79"/>
      <c r="CY15" s="79" t="str">
        <f>IF(OR(ISBLANK(AV15),ISBLANK(AX15)),"N/A",IF(ABS((AX15-AV15)/AV15)&gt;0.25,"&gt; 25%","ok"))</f>
        <v>N/A</v>
      </c>
      <c r="CZ15" s="79"/>
      <c r="DA15" s="79" t="str">
        <f t="shared" si="1"/>
        <v>N/A</v>
      </c>
      <c r="DB15" s="357"/>
      <c r="DC15" s="357"/>
      <c r="DD15" s="357"/>
      <c r="DE15" s="357"/>
      <c r="DF15" s="357"/>
      <c r="DG15" s="357"/>
      <c r="DH15" s="357"/>
      <c r="DI15" s="357"/>
      <c r="DJ15" s="357"/>
      <c r="DK15" s="357"/>
      <c r="DL15" s="357"/>
      <c r="DM15" s="357"/>
      <c r="DN15" s="357"/>
      <c r="DO15" s="357"/>
      <c r="DP15" s="357"/>
      <c r="DQ15" s="357"/>
      <c r="DR15" s="357"/>
      <c r="DS15" s="357"/>
      <c r="DT15" s="357"/>
      <c r="DU15" s="357"/>
      <c r="DV15" s="357"/>
      <c r="DW15" s="357"/>
      <c r="DX15" s="357"/>
      <c r="DY15" s="357"/>
      <c r="DZ15" s="357"/>
      <c r="EA15" s="357"/>
      <c r="EB15" s="357"/>
      <c r="EC15" s="357"/>
      <c r="ED15" s="357"/>
      <c r="EE15" s="357"/>
      <c r="EF15" s="357"/>
      <c r="EG15" s="357"/>
      <c r="EH15" s="357"/>
      <c r="EI15" s="357"/>
      <c r="EJ15" s="357"/>
      <c r="EK15" s="357"/>
      <c r="EL15" s="357"/>
      <c r="EM15" s="357"/>
      <c r="EN15" s="357"/>
    </row>
    <row r="16" spans="1:144" s="406" customFormat="1" ht="15" customHeight="1" x14ac:dyDescent="0.2">
      <c r="A16" s="230"/>
      <c r="B16" s="390">
        <v>264</v>
      </c>
      <c r="C16" s="394">
        <v>8</v>
      </c>
      <c r="D16" s="672" t="s">
        <v>574</v>
      </c>
      <c r="E16" s="260" t="s">
        <v>60</v>
      </c>
      <c r="F16" s="579"/>
      <c r="G16" s="597"/>
      <c r="H16" s="579"/>
      <c r="I16" s="597"/>
      <c r="J16" s="579"/>
      <c r="K16" s="597"/>
      <c r="L16" s="579"/>
      <c r="M16" s="597"/>
      <c r="N16" s="579"/>
      <c r="O16" s="597"/>
      <c r="P16" s="579"/>
      <c r="Q16" s="597"/>
      <c r="R16" s="579"/>
      <c r="S16" s="597"/>
      <c r="T16" s="579"/>
      <c r="U16" s="597"/>
      <c r="V16" s="579"/>
      <c r="W16" s="597"/>
      <c r="X16" s="579"/>
      <c r="Y16" s="597"/>
      <c r="Z16" s="579"/>
      <c r="AA16" s="597"/>
      <c r="AB16" s="579"/>
      <c r="AC16" s="597"/>
      <c r="AD16" s="579"/>
      <c r="AE16" s="597"/>
      <c r="AF16" s="579"/>
      <c r="AG16" s="597"/>
      <c r="AH16" s="579"/>
      <c r="AI16" s="597"/>
      <c r="AJ16" s="579"/>
      <c r="AK16" s="597"/>
      <c r="AL16" s="579"/>
      <c r="AM16" s="597"/>
      <c r="AN16" s="579"/>
      <c r="AO16" s="597"/>
      <c r="AP16" s="579"/>
      <c r="AQ16" s="597"/>
      <c r="AR16" s="689"/>
      <c r="AS16" s="597"/>
      <c r="AT16" s="579"/>
      <c r="AU16" s="597"/>
      <c r="AV16" s="579"/>
      <c r="AW16" s="597"/>
      <c r="AX16" s="579"/>
      <c r="AY16" s="597"/>
      <c r="AZ16" s="579"/>
      <c r="BA16" s="597"/>
      <c r="BC16" s="233"/>
      <c r="BD16" s="612">
        <v>8</v>
      </c>
      <c r="BE16" s="409" t="s">
        <v>584</v>
      </c>
      <c r="BF16" s="81" t="s">
        <v>462</v>
      </c>
      <c r="BG16" s="79"/>
      <c r="BH16" s="266"/>
      <c r="BI16" s="79" t="str">
        <f>IF(OR(ISBLANK(F16),ISBLANK(H16)),"N/A",IF(ABS((H16-F16)/F16)&gt;1,"&gt; 100%","ok"))</f>
        <v>N/A</v>
      </c>
      <c r="BJ16" s="266"/>
      <c r="BK16" s="79" t="str">
        <f>IF(OR(ISBLANK(H16),ISBLANK(J16)),"N/A",IF(ABS((J16-H16)/H16)&gt;0.25,"&gt; 25%","ok"))</f>
        <v>N/A</v>
      </c>
      <c r="BL16" s="79"/>
      <c r="BM16" s="79" t="str">
        <f>IF(OR(ISBLANK(J16),ISBLANK(L16)),"N/A",IF(ABS((L16-J16)/J16)&gt;0.25,"&gt; 25%","ok"))</f>
        <v>N/A</v>
      </c>
      <c r="BN16" s="79"/>
      <c r="BO16" s="79" t="str">
        <f>IF(OR(ISBLANK(L16),ISBLANK(N16)),"N/A",IF(ABS((N16-L16)/L16)&gt;0.25,"&gt; 25%","ok"))</f>
        <v>N/A</v>
      </c>
      <c r="BP16" s="79"/>
      <c r="BQ16" s="79" t="str">
        <f>IF(OR(ISBLANK(N16),ISBLANK(P16)),"N/A",IF(ABS((P16-N16)/N16)&gt;0.25,"&gt; 25%","ok"))</f>
        <v>N/A</v>
      </c>
      <c r="BR16" s="79"/>
      <c r="BS16" s="79" t="str">
        <f>IF(OR(ISBLANK(P16),ISBLANK(R16)),"N/A",IF(ABS((R16-P16)/P16)&gt;0.25,"&gt; 25%","ok"))</f>
        <v>N/A</v>
      </c>
      <c r="BT16" s="79"/>
      <c r="BU16" s="79" t="str">
        <f>IF(OR(ISBLANK(R16),ISBLANK(T16)),"N/A",IF(ABS((T16-R16)/R16)&gt;0.25,"&gt; 25%","ok"))</f>
        <v>N/A</v>
      </c>
      <c r="BV16" s="79"/>
      <c r="BW16" s="79" t="str">
        <f>IF(OR(ISBLANK(T16),ISBLANK(V16)),"N/A",IF(ABS((V16-T16)/T16)&gt;0.25,"&gt; 25%","ok"))</f>
        <v>N/A</v>
      </c>
      <c r="BX16" s="79"/>
      <c r="BY16" s="79" t="str">
        <f>IF(OR(ISBLANK(V16),ISBLANK(X16)),"N/A",IF(ABS((X16-V16)/V16)&gt;0.25,"&gt; 25%","ok"))</f>
        <v>N/A</v>
      </c>
      <c r="BZ16" s="79"/>
      <c r="CA16" s="79" t="str">
        <f>IF(OR(ISBLANK(X16),ISBLANK(Z16)),"N/A",IF(ABS((Z16-X16)/X16)&gt;0.25,"&gt; 25%","ok"))</f>
        <v>N/A</v>
      </c>
      <c r="CB16" s="79"/>
      <c r="CC16" s="79" t="str">
        <f>IF(OR(ISBLANK(Z16),ISBLANK(AB16)),"N/A",IF(ABS((AB16-Z16)/Z16)&gt;0.25,"&gt; 25%","ok"))</f>
        <v>N/A</v>
      </c>
      <c r="CD16" s="79"/>
      <c r="CE16" s="79" t="str">
        <f>IF(OR(ISBLANK(AB16),ISBLANK(AD16)),"N/A",IF(ABS((AD16-AB16)/AB16)&gt;0.25,"&gt; 25%","ok"))</f>
        <v>N/A</v>
      </c>
      <c r="CF16" s="79"/>
      <c r="CG16" s="79" t="str">
        <f>IF(OR(ISBLANK(AD16),ISBLANK(AF16)),"N/A",IF(ABS((AF16-AD16)/AD16)&gt;0.25,"&gt; 25%","ok"))</f>
        <v>N/A</v>
      </c>
      <c r="CH16" s="79"/>
      <c r="CI16" s="79" t="str">
        <f>IF(OR(ISBLANK(AF16),ISBLANK(AH16)),"N/A",IF(ABS((AH16-AF16)/AF16)&gt;0.25,"&gt; 25%","ok"))</f>
        <v>N/A</v>
      </c>
      <c r="CJ16" s="79"/>
      <c r="CK16" s="79" t="str">
        <f>IF(OR(ISBLANK(AH16),ISBLANK(AJ16)),"N/A",IF(ABS((AJ16-AH16)/AH16)&gt;0.25,"&gt; 25%","ok"))</f>
        <v>N/A</v>
      </c>
      <c r="CL16" s="79"/>
      <c r="CM16" s="79" t="str">
        <f>IF(OR(ISBLANK(AJ16),ISBLANK(AL16)),"N/A",IF(ABS((AL16-AJ16)/AJ16)&gt;0.25,"&gt; 25%","ok"))</f>
        <v>N/A</v>
      </c>
      <c r="CN16" s="79"/>
      <c r="CO16" s="79" t="str">
        <f>IF(OR(ISBLANK(AL16),ISBLANK(AN16)),"N/A",IF(ABS((AN16-AL16)/AL16)&gt;0.25,"&gt; 25%","ok"))</f>
        <v>N/A</v>
      </c>
      <c r="CP16" s="79"/>
      <c r="CQ16" s="79" t="str">
        <f>IF(OR(ISBLANK(AN16),ISBLANK(AP16)),"N/A",IF(ABS((AP16-AN16)/AN16)&gt;0.25,"&gt; 25%","ok"))</f>
        <v>N/A</v>
      </c>
      <c r="CR16" s="79"/>
      <c r="CS16" s="79" t="str">
        <f>IF(OR(ISBLANK(AP16),ISBLANK(AR16)),"N/A",IF(ABS((AR16-AP16)/AP16)&gt;0.25,"&gt; 25%","ok"))</f>
        <v>N/A</v>
      </c>
      <c r="CT16" s="79"/>
      <c r="CU16" s="79" t="str">
        <f>IF(OR(ISBLANK(AR16),ISBLANK(AT16)),"N/A",IF(ABS((AT16-AR16)/AR16)&gt;0.25,"&gt; 25%","ok"))</f>
        <v>N/A</v>
      </c>
      <c r="CV16" s="79"/>
      <c r="CW16" s="79" t="str">
        <f>IF(OR(ISBLANK(AT16),ISBLANK(AV16)),"N/A",IF(ABS((AV16-AT16)/AT16)&gt;0.25,"&gt; 25%","ok"))</f>
        <v>N/A</v>
      </c>
      <c r="CX16" s="79"/>
      <c r="CY16" s="79" t="str">
        <f>IF(OR(ISBLANK(AV16),ISBLANK(AX16)),"N/A",IF(ABS((AX16-AV16)/AV16)&gt;0.25,"&gt; 25%","ok"))</f>
        <v>N/A</v>
      </c>
      <c r="CZ16" s="79"/>
      <c r="DA16" s="79" t="str">
        <f t="shared" si="1"/>
        <v>N/A</v>
      </c>
      <c r="DB16" s="357"/>
      <c r="DC16" s="357"/>
      <c r="DD16" s="357"/>
      <c r="DE16" s="357"/>
      <c r="DF16" s="357"/>
      <c r="DG16" s="357"/>
      <c r="DH16" s="357"/>
      <c r="DI16" s="357"/>
      <c r="DJ16" s="357"/>
      <c r="DK16" s="357"/>
      <c r="DL16" s="357"/>
      <c r="DM16" s="357"/>
      <c r="DN16" s="357"/>
      <c r="DO16" s="357"/>
      <c r="DP16" s="357"/>
      <c r="DQ16" s="357"/>
      <c r="DR16" s="357"/>
      <c r="DS16" s="357"/>
      <c r="DT16" s="357"/>
      <c r="DU16" s="357"/>
      <c r="DV16" s="357"/>
      <c r="DW16" s="357"/>
      <c r="DX16" s="357"/>
      <c r="DY16" s="357"/>
      <c r="DZ16" s="357"/>
      <c r="EA16" s="357"/>
      <c r="EB16" s="357"/>
      <c r="EC16" s="357"/>
      <c r="ED16" s="357"/>
      <c r="EE16" s="357"/>
      <c r="EF16" s="357"/>
      <c r="EG16" s="357"/>
      <c r="EH16" s="357"/>
      <c r="EI16" s="357"/>
      <c r="EJ16" s="357"/>
      <c r="EK16" s="357"/>
      <c r="EL16" s="357"/>
      <c r="EM16" s="357"/>
      <c r="EN16" s="357"/>
    </row>
    <row r="17" spans="1:144" s="406" customFormat="1" ht="15" customHeight="1" x14ac:dyDescent="0.2">
      <c r="A17" s="230"/>
      <c r="B17" s="390">
        <v>258</v>
      </c>
      <c r="C17" s="394">
        <v>9</v>
      </c>
      <c r="D17" s="408" t="s">
        <v>529</v>
      </c>
      <c r="E17" s="260" t="s">
        <v>60</v>
      </c>
      <c r="F17" s="579"/>
      <c r="G17" s="597"/>
      <c r="H17" s="579"/>
      <c r="I17" s="597"/>
      <c r="J17" s="579"/>
      <c r="K17" s="597"/>
      <c r="L17" s="579"/>
      <c r="M17" s="597"/>
      <c r="N17" s="579"/>
      <c r="O17" s="597"/>
      <c r="P17" s="579"/>
      <c r="Q17" s="597"/>
      <c r="R17" s="579"/>
      <c r="S17" s="597"/>
      <c r="T17" s="579"/>
      <c r="U17" s="597"/>
      <c r="V17" s="579"/>
      <c r="W17" s="597"/>
      <c r="X17" s="579"/>
      <c r="Y17" s="597"/>
      <c r="Z17" s="579"/>
      <c r="AA17" s="597"/>
      <c r="AB17" s="579"/>
      <c r="AC17" s="597"/>
      <c r="AD17" s="579"/>
      <c r="AE17" s="597"/>
      <c r="AF17" s="579"/>
      <c r="AG17" s="597"/>
      <c r="AH17" s="579"/>
      <c r="AI17" s="597"/>
      <c r="AJ17" s="579"/>
      <c r="AK17" s="597"/>
      <c r="AL17" s="579"/>
      <c r="AM17" s="597"/>
      <c r="AN17" s="579"/>
      <c r="AO17" s="597"/>
      <c r="AP17" s="579"/>
      <c r="AQ17" s="597"/>
      <c r="AR17" s="689"/>
      <c r="AS17" s="597"/>
      <c r="AT17" s="579">
        <v>346.05184052258983</v>
      </c>
      <c r="AU17" s="597" t="s">
        <v>681</v>
      </c>
      <c r="AV17" s="579">
        <v>335.16219670146319</v>
      </c>
      <c r="AW17" s="597" t="s">
        <v>681</v>
      </c>
      <c r="AX17" s="579">
        <v>336.71293020969665</v>
      </c>
      <c r="AY17" s="597" t="s">
        <v>681</v>
      </c>
      <c r="AZ17" s="579"/>
      <c r="BA17" s="597"/>
      <c r="BC17" s="233"/>
      <c r="BD17" s="612">
        <v>9</v>
      </c>
      <c r="BE17" s="409" t="s">
        <v>373</v>
      </c>
      <c r="BF17" s="81" t="s">
        <v>462</v>
      </c>
      <c r="BG17" s="79" t="s">
        <v>466</v>
      </c>
      <c r="BH17" s="266"/>
      <c r="BI17" s="79" t="str">
        <f t="shared" si="2"/>
        <v>N/A</v>
      </c>
      <c r="BJ17" s="266"/>
      <c r="BK17" s="79" t="str">
        <f t="shared" si="17"/>
        <v>N/A</v>
      </c>
      <c r="BL17" s="79"/>
      <c r="BM17" s="79" t="str">
        <f t="shared" si="18"/>
        <v>N/A</v>
      </c>
      <c r="BN17" s="79"/>
      <c r="BO17" s="79" t="str">
        <f t="shared" si="19"/>
        <v>N/A</v>
      </c>
      <c r="BP17" s="79"/>
      <c r="BQ17" s="79" t="str">
        <f t="shared" si="20"/>
        <v>N/A</v>
      </c>
      <c r="BR17" s="79"/>
      <c r="BS17" s="79" t="str">
        <f t="shared" si="3"/>
        <v>N/A</v>
      </c>
      <c r="BT17" s="79"/>
      <c r="BU17" s="79" t="str">
        <f t="shared" si="4"/>
        <v>N/A</v>
      </c>
      <c r="BV17" s="79"/>
      <c r="BW17" s="79" t="str">
        <f t="shared" si="5"/>
        <v>N/A</v>
      </c>
      <c r="BX17" s="79"/>
      <c r="BY17" s="79" t="str">
        <f t="shared" si="6"/>
        <v>N/A</v>
      </c>
      <c r="BZ17" s="79"/>
      <c r="CA17" s="79" t="str">
        <f t="shared" si="7"/>
        <v>N/A</v>
      </c>
      <c r="CB17" s="79"/>
      <c r="CC17" s="79" t="str">
        <f t="shared" si="8"/>
        <v>N/A</v>
      </c>
      <c r="CD17" s="79"/>
      <c r="CE17" s="79" t="str">
        <f t="shared" si="9"/>
        <v>N/A</v>
      </c>
      <c r="CF17" s="79"/>
      <c r="CG17" s="79" t="str">
        <f t="shared" si="10"/>
        <v>N/A</v>
      </c>
      <c r="CH17" s="79"/>
      <c r="CI17" s="79" t="str">
        <f t="shared" si="11"/>
        <v>N/A</v>
      </c>
      <c r="CJ17" s="79"/>
      <c r="CK17" s="79" t="str">
        <f t="shared" si="12"/>
        <v>N/A</v>
      </c>
      <c r="CL17" s="79"/>
      <c r="CM17" s="79" t="str">
        <f t="shared" si="13"/>
        <v>N/A</v>
      </c>
      <c r="CN17" s="79"/>
      <c r="CO17" s="79" t="str">
        <f t="shared" si="14"/>
        <v>N/A</v>
      </c>
      <c r="CP17" s="79"/>
      <c r="CQ17" s="79" t="str">
        <f t="shared" si="0"/>
        <v>N/A</v>
      </c>
      <c r="CR17" s="79"/>
      <c r="CS17" s="79" t="str">
        <f t="shared" si="15"/>
        <v>N/A</v>
      </c>
      <c r="CT17" s="79"/>
      <c r="CU17" s="79" t="str">
        <f t="shared" si="16"/>
        <v>N/A</v>
      </c>
      <c r="CV17" s="79"/>
      <c r="CW17" s="79" t="str">
        <f t="shared" si="21"/>
        <v>ok</v>
      </c>
      <c r="CX17" s="79"/>
      <c r="CY17" s="79" t="str">
        <f t="shared" si="22"/>
        <v>ok</v>
      </c>
      <c r="CZ17" s="79"/>
      <c r="DA17" s="79" t="str">
        <f t="shared" si="1"/>
        <v>N/A</v>
      </c>
      <c r="DB17" s="357"/>
      <c r="DC17" s="357"/>
      <c r="DD17" s="357"/>
      <c r="DE17" s="357"/>
      <c r="DF17" s="357"/>
      <c r="DG17" s="357"/>
      <c r="DH17" s="357"/>
      <c r="DI17" s="357"/>
      <c r="DJ17" s="357"/>
      <c r="DK17" s="357"/>
      <c r="DL17" s="357"/>
      <c r="DM17" s="357"/>
      <c r="DN17" s="357"/>
      <c r="DO17" s="357"/>
      <c r="DP17" s="357"/>
      <c r="DQ17" s="357"/>
      <c r="DR17" s="357"/>
      <c r="DS17" s="357"/>
      <c r="DT17" s="357"/>
      <c r="DU17" s="357"/>
      <c r="DV17" s="357"/>
      <c r="DW17" s="357"/>
      <c r="DX17" s="357"/>
      <c r="DY17" s="357"/>
      <c r="DZ17" s="357"/>
      <c r="EA17" s="357"/>
      <c r="EB17" s="357"/>
      <c r="EC17" s="357"/>
      <c r="ED17" s="357"/>
      <c r="EE17" s="357"/>
      <c r="EF17" s="357"/>
      <c r="EG17" s="357"/>
      <c r="EH17" s="357"/>
      <c r="EI17" s="357"/>
      <c r="EJ17" s="357"/>
      <c r="EK17" s="357"/>
      <c r="EL17" s="357"/>
      <c r="EM17" s="357"/>
      <c r="EN17" s="357"/>
    </row>
    <row r="18" spans="1:144" s="406" customFormat="1" ht="23.45" customHeight="1" x14ac:dyDescent="0.2">
      <c r="A18" s="230"/>
      <c r="B18" s="390">
        <v>265</v>
      </c>
      <c r="C18" s="394">
        <v>10</v>
      </c>
      <c r="D18" s="672" t="s">
        <v>575</v>
      </c>
      <c r="E18" s="260" t="s">
        <v>60</v>
      </c>
      <c r="F18" s="579"/>
      <c r="G18" s="597"/>
      <c r="H18" s="579"/>
      <c r="I18" s="597"/>
      <c r="J18" s="579"/>
      <c r="K18" s="597"/>
      <c r="L18" s="579"/>
      <c r="M18" s="597"/>
      <c r="N18" s="579"/>
      <c r="O18" s="597"/>
      <c r="P18" s="579"/>
      <c r="Q18" s="597"/>
      <c r="R18" s="579"/>
      <c r="S18" s="597"/>
      <c r="T18" s="579"/>
      <c r="U18" s="597"/>
      <c r="V18" s="579"/>
      <c r="W18" s="597"/>
      <c r="X18" s="579"/>
      <c r="Y18" s="597"/>
      <c r="Z18" s="579"/>
      <c r="AA18" s="597"/>
      <c r="AB18" s="579"/>
      <c r="AC18" s="597"/>
      <c r="AD18" s="579"/>
      <c r="AE18" s="597"/>
      <c r="AF18" s="579"/>
      <c r="AG18" s="597"/>
      <c r="AH18" s="579"/>
      <c r="AI18" s="597"/>
      <c r="AJ18" s="579"/>
      <c r="AK18" s="597"/>
      <c r="AL18" s="579"/>
      <c r="AM18" s="597"/>
      <c r="AN18" s="579"/>
      <c r="AO18" s="597"/>
      <c r="AP18" s="579"/>
      <c r="AQ18" s="597"/>
      <c r="AR18" s="689"/>
      <c r="AS18" s="597"/>
      <c r="AT18" s="579"/>
      <c r="AU18" s="597"/>
      <c r="AV18" s="579"/>
      <c r="AW18" s="597"/>
      <c r="AX18" s="579"/>
      <c r="AY18" s="597"/>
      <c r="AZ18" s="579"/>
      <c r="BA18" s="597"/>
      <c r="BC18" s="233"/>
      <c r="BD18" s="612">
        <v>10</v>
      </c>
      <c r="BE18" s="409" t="s">
        <v>585</v>
      </c>
      <c r="BF18" s="81" t="s">
        <v>462</v>
      </c>
      <c r="BG18" s="79"/>
      <c r="BH18" s="266"/>
      <c r="BI18" s="79" t="str">
        <f>IF(OR(ISBLANK(F18),ISBLANK(H18)),"N/A",IF(ABS((H18-F18)/F18)&gt;1,"&gt; 100%","ok"))</f>
        <v>N/A</v>
      </c>
      <c r="BJ18" s="266"/>
      <c r="BK18" s="79" t="str">
        <f>IF(OR(ISBLANK(H18),ISBLANK(J18)),"N/A",IF(ABS((J18-H18)/H18)&gt;0.25,"&gt; 25%","ok"))</f>
        <v>N/A</v>
      </c>
      <c r="BL18" s="79"/>
      <c r="BM18" s="79" t="str">
        <f>IF(OR(ISBLANK(J18),ISBLANK(L18)),"N/A",IF(ABS((L18-J18)/J18)&gt;0.25,"&gt; 25%","ok"))</f>
        <v>N/A</v>
      </c>
      <c r="BN18" s="79"/>
      <c r="BO18" s="79" t="str">
        <f>IF(OR(ISBLANK(L18),ISBLANK(N18)),"N/A",IF(ABS((N18-L18)/L18)&gt;0.25,"&gt; 25%","ok"))</f>
        <v>N/A</v>
      </c>
      <c r="BP18" s="79"/>
      <c r="BQ18" s="79" t="str">
        <f>IF(OR(ISBLANK(N18),ISBLANK(P18)),"N/A",IF(ABS((P18-N18)/N18)&gt;0.25,"&gt; 25%","ok"))</f>
        <v>N/A</v>
      </c>
      <c r="BR18" s="79"/>
      <c r="BS18" s="79" t="str">
        <f>IF(OR(ISBLANK(P18),ISBLANK(R18)),"N/A",IF(ABS((R18-P18)/P18)&gt;0.25,"&gt; 25%","ok"))</f>
        <v>N/A</v>
      </c>
      <c r="BT18" s="79"/>
      <c r="BU18" s="79" t="str">
        <f>IF(OR(ISBLANK(R18),ISBLANK(T18)),"N/A",IF(ABS((T18-R18)/R18)&gt;0.25,"&gt; 25%","ok"))</f>
        <v>N/A</v>
      </c>
      <c r="BV18" s="79"/>
      <c r="BW18" s="79" t="str">
        <f>IF(OR(ISBLANK(T18),ISBLANK(V18)),"N/A",IF(ABS((V18-T18)/T18)&gt;0.25,"&gt; 25%","ok"))</f>
        <v>N/A</v>
      </c>
      <c r="BX18" s="79"/>
      <c r="BY18" s="79" t="str">
        <f>IF(OR(ISBLANK(V18),ISBLANK(X18)),"N/A",IF(ABS((X18-V18)/V18)&gt;0.25,"&gt; 25%","ok"))</f>
        <v>N/A</v>
      </c>
      <c r="BZ18" s="79"/>
      <c r="CA18" s="79" t="str">
        <f>IF(OR(ISBLANK(X18),ISBLANK(Z18)),"N/A",IF(ABS((Z18-X18)/X18)&gt;0.25,"&gt; 25%","ok"))</f>
        <v>N/A</v>
      </c>
      <c r="CB18" s="79"/>
      <c r="CC18" s="79" t="str">
        <f>IF(OR(ISBLANK(Z18),ISBLANK(AB18)),"N/A",IF(ABS((AB18-Z18)/Z18)&gt;0.25,"&gt; 25%","ok"))</f>
        <v>N/A</v>
      </c>
      <c r="CD18" s="79"/>
      <c r="CE18" s="79" t="str">
        <f>IF(OR(ISBLANK(AB18),ISBLANK(AD18)),"N/A",IF(ABS((AD18-AB18)/AB18)&gt;0.25,"&gt; 25%","ok"))</f>
        <v>N/A</v>
      </c>
      <c r="CF18" s="79"/>
      <c r="CG18" s="79" t="str">
        <f>IF(OR(ISBLANK(AD18),ISBLANK(AF18)),"N/A",IF(ABS((AF18-AD18)/AD18)&gt;0.25,"&gt; 25%","ok"))</f>
        <v>N/A</v>
      </c>
      <c r="CH18" s="79"/>
      <c r="CI18" s="79" t="str">
        <f>IF(OR(ISBLANK(AF18),ISBLANK(AH18)),"N/A",IF(ABS((AH18-AF18)/AF18)&gt;0.25,"&gt; 25%","ok"))</f>
        <v>N/A</v>
      </c>
      <c r="CJ18" s="79"/>
      <c r="CK18" s="79" t="str">
        <f>IF(OR(ISBLANK(AH18),ISBLANK(AJ18)),"N/A",IF(ABS((AJ18-AH18)/AH18)&gt;0.25,"&gt; 25%","ok"))</f>
        <v>N/A</v>
      </c>
      <c r="CL18" s="79"/>
      <c r="CM18" s="79" t="str">
        <f>IF(OR(ISBLANK(AJ18),ISBLANK(AL18)),"N/A",IF(ABS((AL18-AJ18)/AJ18)&gt;0.25,"&gt; 25%","ok"))</f>
        <v>N/A</v>
      </c>
      <c r="CN18" s="79"/>
      <c r="CO18" s="79" t="str">
        <f>IF(OR(ISBLANK(AL18),ISBLANK(AN18)),"N/A",IF(ABS((AN18-AL18)/AL18)&gt;0.25,"&gt; 25%","ok"))</f>
        <v>N/A</v>
      </c>
      <c r="CP18" s="79"/>
      <c r="CQ18" s="79" t="str">
        <f>IF(OR(ISBLANK(AN18),ISBLANK(AP18)),"N/A",IF(ABS((AP18-AN18)/AN18)&gt;0.25,"&gt; 25%","ok"))</f>
        <v>N/A</v>
      </c>
      <c r="CR18" s="79"/>
      <c r="CS18" s="79" t="str">
        <f>IF(OR(ISBLANK(AP18),ISBLANK(AR18)),"N/A",IF(ABS((AR18-AP18)/AP18)&gt;0.25,"&gt; 25%","ok"))</f>
        <v>N/A</v>
      </c>
      <c r="CT18" s="79"/>
      <c r="CU18" s="79" t="str">
        <f>IF(OR(ISBLANK(AR18),ISBLANK(AT18)),"N/A",IF(ABS((AT18-AR18)/AR18)&gt;0.25,"&gt; 25%","ok"))</f>
        <v>N/A</v>
      </c>
      <c r="CV18" s="79"/>
      <c r="CW18" s="79" t="str">
        <f>IF(OR(ISBLANK(AT18),ISBLANK(AV18)),"N/A",IF(ABS((AV18-AT18)/AT18)&gt;0.25,"&gt; 25%","ok"))</f>
        <v>N/A</v>
      </c>
      <c r="CX18" s="79"/>
      <c r="CY18" s="79" t="str">
        <f>IF(OR(ISBLANK(AV18),ISBLANK(AX18)),"N/A",IF(ABS((AX18-AV18)/AV18)&gt;0.25,"&gt; 25%","ok"))</f>
        <v>N/A</v>
      </c>
      <c r="CZ18" s="79"/>
      <c r="DA18" s="79" t="str">
        <f t="shared" si="1"/>
        <v>N/A</v>
      </c>
      <c r="DB18" s="357"/>
      <c r="DC18" s="357"/>
      <c r="DD18" s="357"/>
      <c r="DE18" s="357"/>
      <c r="DF18" s="357"/>
      <c r="DG18" s="357"/>
      <c r="DH18" s="357"/>
      <c r="DI18" s="357"/>
      <c r="DJ18" s="357"/>
      <c r="DK18" s="357"/>
      <c r="DL18" s="357"/>
      <c r="DM18" s="357"/>
      <c r="DN18" s="357"/>
      <c r="DO18" s="357"/>
      <c r="DP18" s="357"/>
      <c r="DQ18" s="357"/>
      <c r="DR18" s="357"/>
      <c r="DS18" s="357"/>
      <c r="DT18" s="357"/>
      <c r="DU18" s="357"/>
      <c r="DV18" s="357"/>
      <c r="DW18" s="357"/>
      <c r="DX18" s="357"/>
      <c r="DY18" s="357"/>
      <c r="DZ18" s="357"/>
      <c r="EA18" s="357"/>
      <c r="EB18" s="357"/>
      <c r="EC18" s="357"/>
      <c r="ED18" s="357"/>
      <c r="EE18" s="357"/>
      <c r="EF18" s="357"/>
      <c r="EG18" s="357"/>
      <c r="EH18" s="357"/>
      <c r="EI18" s="357"/>
      <c r="EJ18" s="357"/>
      <c r="EK18" s="357"/>
      <c r="EL18" s="357"/>
      <c r="EM18" s="357"/>
      <c r="EN18" s="357"/>
    </row>
    <row r="19" spans="1:144" s="406" customFormat="1" ht="27.6" customHeight="1" x14ac:dyDescent="0.2">
      <c r="A19" s="230"/>
      <c r="B19" s="390">
        <v>259</v>
      </c>
      <c r="C19" s="394">
        <v>11</v>
      </c>
      <c r="D19" s="468" t="s">
        <v>578</v>
      </c>
      <c r="E19" s="260" t="s">
        <v>60</v>
      </c>
      <c r="F19" s="579"/>
      <c r="G19" s="597"/>
      <c r="H19" s="579"/>
      <c r="I19" s="597"/>
      <c r="J19" s="579"/>
      <c r="K19" s="597"/>
      <c r="L19" s="579"/>
      <c r="M19" s="597"/>
      <c r="N19" s="579"/>
      <c r="O19" s="597"/>
      <c r="P19" s="579"/>
      <c r="Q19" s="597"/>
      <c r="R19" s="579"/>
      <c r="S19" s="597"/>
      <c r="T19" s="579"/>
      <c r="U19" s="597"/>
      <c r="V19" s="579"/>
      <c r="W19" s="597"/>
      <c r="X19" s="579"/>
      <c r="Y19" s="597"/>
      <c r="Z19" s="579"/>
      <c r="AA19" s="597"/>
      <c r="AB19" s="579"/>
      <c r="AC19" s="597"/>
      <c r="AD19" s="579"/>
      <c r="AE19" s="597"/>
      <c r="AF19" s="579"/>
      <c r="AG19" s="597"/>
      <c r="AH19" s="579"/>
      <c r="AI19" s="597"/>
      <c r="AJ19" s="579"/>
      <c r="AK19" s="597"/>
      <c r="AL19" s="579"/>
      <c r="AM19" s="597"/>
      <c r="AN19" s="579"/>
      <c r="AO19" s="597"/>
      <c r="AP19" s="579"/>
      <c r="AQ19" s="597"/>
      <c r="AR19" s="689"/>
      <c r="AS19" s="597"/>
      <c r="AT19" s="579">
        <v>57428.111638087365</v>
      </c>
      <c r="AU19" s="597" t="s">
        <v>681</v>
      </c>
      <c r="AV19" s="579">
        <v>56904.424795822517</v>
      </c>
      <c r="AW19" s="597" t="s">
        <v>681</v>
      </c>
      <c r="AX19" s="579">
        <v>65313.401381412004</v>
      </c>
      <c r="AY19" s="597" t="s">
        <v>681</v>
      </c>
      <c r="AZ19" s="579"/>
      <c r="BA19" s="597"/>
      <c r="BC19" s="233"/>
      <c r="BD19" s="612">
        <v>11</v>
      </c>
      <c r="BE19" s="471" t="s">
        <v>586</v>
      </c>
      <c r="BF19" s="81" t="s">
        <v>462</v>
      </c>
      <c r="BG19" s="79" t="s">
        <v>466</v>
      </c>
      <c r="BH19" s="266"/>
      <c r="BI19" s="79" t="str">
        <f t="shared" si="2"/>
        <v>N/A</v>
      </c>
      <c r="BJ19" s="266"/>
      <c r="BK19" s="79" t="str">
        <f t="shared" si="17"/>
        <v>N/A</v>
      </c>
      <c r="BL19" s="79"/>
      <c r="BM19" s="79" t="str">
        <f t="shared" si="18"/>
        <v>N/A</v>
      </c>
      <c r="BN19" s="79"/>
      <c r="BO19" s="79" t="str">
        <f t="shared" si="19"/>
        <v>N/A</v>
      </c>
      <c r="BP19" s="79"/>
      <c r="BQ19" s="79" t="str">
        <f t="shared" si="20"/>
        <v>N/A</v>
      </c>
      <c r="BR19" s="79"/>
      <c r="BS19" s="79" t="str">
        <f t="shared" si="3"/>
        <v>N/A</v>
      </c>
      <c r="BT19" s="79"/>
      <c r="BU19" s="79" t="str">
        <f t="shared" si="4"/>
        <v>N/A</v>
      </c>
      <c r="BV19" s="79"/>
      <c r="BW19" s="79" t="str">
        <f t="shared" si="5"/>
        <v>N/A</v>
      </c>
      <c r="BX19" s="79"/>
      <c r="BY19" s="79" t="str">
        <f t="shared" si="6"/>
        <v>N/A</v>
      </c>
      <c r="BZ19" s="79"/>
      <c r="CA19" s="79" t="str">
        <f t="shared" si="7"/>
        <v>N/A</v>
      </c>
      <c r="CB19" s="79"/>
      <c r="CC19" s="79" t="str">
        <f t="shared" si="8"/>
        <v>N/A</v>
      </c>
      <c r="CD19" s="79"/>
      <c r="CE19" s="79" t="str">
        <f t="shared" si="9"/>
        <v>N/A</v>
      </c>
      <c r="CF19" s="79"/>
      <c r="CG19" s="79" t="str">
        <f t="shared" si="10"/>
        <v>N/A</v>
      </c>
      <c r="CH19" s="79"/>
      <c r="CI19" s="79" t="str">
        <f t="shared" si="11"/>
        <v>N/A</v>
      </c>
      <c r="CJ19" s="79"/>
      <c r="CK19" s="79" t="str">
        <f t="shared" si="12"/>
        <v>N/A</v>
      </c>
      <c r="CL19" s="79"/>
      <c r="CM19" s="79" t="str">
        <f t="shared" si="13"/>
        <v>N/A</v>
      </c>
      <c r="CN19" s="79"/>
      <c r="CO19" s="79" t="str">
        <f t="shared" si="14"/>
        <v>N/A</v>
      </c>
      <c r="CP19" s="79"/>
      <c r="CQ19" s="79" t="str">
        <f t="shared" si="0"/>
        <v>N/A</v>
      </c>
      <c r="CR19" s="79"/>
      <c r="CS19" s="79" t="str">
        <f t="shared" si="15"/>
        <v>N/A</v>
      </c>
      <c r="CT19" s="79"/>
      <c r="CU19" s="79" t="str">
        <f t="shared" si="16"/>
        <v>N/A</v>
      </c>
      <c r="CV19" s="79"/>
      <c r="CW19" s="79" t="str">
        <f t="shared" si="21"/>
        <v>ok</v>
      </c>
      <c r="CX19" s="79"/>
      <c r="CY19" s="79" t="str">
        <f t="shared" si="22"/>
        <v>ok</v>
      </c>
      <c r="CZ19" s="79"/>
      <c r="DA19" s="79" t="str">
        <f t="shared" si="1"/>
        <v>N/A</v>
      </c>
      <c r="DB19" s="357"/>
      <c r="DC19" s="357"/>
      <c r="DD19" s="357"/>
      <c r="DE19" s="357"/>
      <c r="DF19" s="357"/>
      <c r="DG19" s="357"/>
      <c r="DH19" s="357"/>
      <c r="DI19" s="357"/>
      <c r="DJ19" s="357"/>
      <c r="DK19" s="357"/>
      <c r="DL19" s="357"/>
      <c r="DM19" s="357"/>
      <c r="DN19" s="357"/>
      <c r="DO19" s="357"/>
      <c r="DP19" s="357"/>
      <c r="DQ19" s="357"/>
      <c r="DR19" s="357"/>
      <c r="DS19" s="357"/>
      <c r="DT19" s="357"/>
      <c r="DU19" s="357"/>
      <c r="DV19" s="357"/>
      <c r="DW19" s="357"/>
      <c r="DX19" s="357"/>
      <c r="DY19" s="357"/>
      <c r="DZ19" s="357"/>
      <c r="EA19" s="357"/>
      <c r="EB19" s="357"/>
      <c r="EC19" s="357"/>
      <c r="ED19" s="357"/>
      <c r="EE19" s="357"/>
      <c r="EF19" s="357"/>
      <c r="EG19" s="357"/>
      <c r="EH19" s="357"/>
      <c r="EI19" s="357"/>
      <c r="EJ19" s="357"/>
      <c r="EK19" s="357"/>
      <c r="EL19" s="357"/>
      <c r="EM19" s="357"/>
      <c r="EN19" s="357"/>
    </row>
    <row r="20" spans="1:144" s="406" customFormat="1" ht="15" customHeight="1" x14ac:dyDescent="0.2">
      <c r="A20" s="230"/>
      <c r="B20" s="390">
        <v>266</v>
      </c>
      <c r="C20" s="394">
        <v>12</v>
      </c>
      <c r="D20" s="673" t="s">
        <v>576</v>
      </c>
      <c r="E20" s="260" t="s">
        <v>60</v>
      </c>
      <c r="F20" s="579"/>
      <c r="G20" s="597"/>
      <c r="H20" s="579"/>
      <c r="I20" s="597"/>
      <c r="J20" s="579"/>
      <c r="K20" s="597"/>
      <c r="L20" s="579"/>
      <c r="M20" s="597"/>
      <c r="N20" s="579"/>
      <c r="O20" s="597"/>
      <c r="P20" s="579"/>
      <c r="Q20" s="597"/>
      <c r="R20" s="579"/>
      <c r="S20" s="597"/>
      <c r="T20" s="579"/>
      <c r="U20" s="597"/>
      <c r="V20" s="579"/>
      <c r="W20" s="597"/>
      <c r="X20" s="579"/>
      <c r="Y20" s="597"/>
      <c r="Z20" s="579"/>
      <c r="AA20" s="597"/>
      <c r="AB20" s="579"/>
      <c r="AC20" s="597"/>
      <c r="AD20" s="579"/>
      <c r="AE20" s="597"/>
      <c r="AF20" s="579"/>
      <c r="AG20" s="597"/>
      <c r="AH20" s="579"/>
      <c r="AI20" s="597"/>
      <c r="AJ20" s="579"/>
      <c r="AK20" s="597"/>
      <c r="AL20" s="579"/>
      <c r="AM20" s="597"/>
      <c r="AN20" s="579"/>
      <c r="AO20" s="597"/>
      <c r="AP20" s="579"/>
      <c r="AQ20" s="597"/>
      <c r="AR20" s="689"/>
      <c r="AS20" s="597"/>
      <c r="AT20" s="579"/>
      <c r="AU20" s="597"/>
      <c r="AV20" s="579"/>
      <c r="AW20" s="597"/>
      <c r="AX20" s="579"/>
      <c r="AY20" s="597"/>
      <c r="AZ20" s="579"/>
      <c r="BA20" s="597"/>
      <c r="BC20" s="233"/>
      <c r="BD20" s="612">
        <v>12</v>
      </c>
      <c r="BE20" s="410" t="s">
        <v>587</v>
      </c>
      <c r="BF20" s="81" t="s">
        <v>462</v>
      </c>
      <c r="BG20" s="79"/>
      <c r="BH20" s="266"/>
      <c r="BI20" s="79" t="str">
        <f>IF(OR(ISBLANK(F20),ISBLANK(H20)),"N/A",IF(ABS((H20-F20)/F20)&gt;1,"&gt; 100%","ok"))</f>
        <v>N/A</v>
      </c>
      <c r="BJ20" s="266"/>
      <c r="BK20" s="79" t="str">
        <f>IF(OR(ISBLANK(H20),ISBLANK(J20)),"N/A",IF(ABS((J20-H20)/H20)&gt;0.25,"&gt; 25%","ok"))</f>
        <v>N/A</v>
      </c>
      <c r="BL20" s="79"/>
      <c r="BM20" s="79" t="str">
        <f>IF(OR(ISBLANK(J20),ISBLANK(L20)),"N/A",IF(ABS((L20-J20)/J20)&gt;0.25,"&gt; 25%","ok"))</f>
        <v>N/A</v>
      </c>
      <c r="BN20" s="79"/>
      <c r="BO20" s="79" t="str">
        <f>IF(OR(ISBLANK(L20),ISBLANK(N20)),"N/A",IF(ABS((N20-L20)/L20)&gt;0.25,"&gt; 25%","ok"))</f>
        <v>N/A</v>
      </c>
      <c r="BP20" s="79"/>
      <c r="BQ20" s="79" t="str">
        <f>IF(OR(ISBLANK(N20),ISBLANK(P20)),"N/A",IF(ABS((P20-N20)/N20)&gt;0.25,"&gt; 25%","ok"))</f>
        <v>N/A</v>
      </c>
      <c r="BR20" s="79"/>
      <c r="BS20" s="79" t="str">
        <f>IF(OR(ISBLANK(P20),ISBLANK(R20)),"N/A",IF(ABS((R20-P20)/P20)&gt;0.25,"&gt; 25%","ok"))</f>
        <v>N/A</v>
      </c>
      <c r="BT20" s="79"/>
      <c r="BU20" s="79" t="str">
        <f>IF(OR(ISBLANK(R20),ISBLANK(T20)),"N/A",IF(ABS((T20-R20)/R20)&gt;0.25,"&gt; 25%","ok"))</f>
        <v>N/A</v>
      </c>
      <c r="BV20" s="79"/>
      <c r="BW20" s="79" t="str">
        <f>IF(OR(ISBLANK(T20),ISBLANK(V20)),"N/A",IF(ABS((V20-T20)/T20)&gt;0.25,"&gt; 25%","ok"))</f>
        <v>N/A</v>
      </c>
      <c r="BX20" s="79"/>
      <c r="BY20" s="79" t="str">
        <f>IF(OR(ISBLANK(V20),ISBLANK(X20)),"N/A",IF(ABS((X20-V20)/V20)&gt;0.25,"&gt; 25%","ok"))</f>
        <v>N/A</v>
      </c>
      <c r="BZ20" s="79"/>
      <c r="CA20" s="79" t="str">
        <f>IF(OR(ISBLANK(X20),ISBLANK(Z20)),"N/A",IF(ABS((Z20-X20)/X20)&gt;0.25,"&gt; 25%","ok"))</f>
        <v>N/A</v>
      </c>
      <c r="CB20" s="79"/>
      <c r="CC20" s="79" t="str">
        <f>IF(OR(ISBLANK(Z20),ISBLANK(AB20)),"N/A",IF(ABS((AB20-Z20)/Z20)&gt;0.25,"&gt; 25%","ok"))</f>
        <v>N/A</v>
      </c>
      <c r="CD20" s="79"/>
      <c r="CE20" s="79" t="str">
        <f>IF(OR(ISBLANK(AB20),ISBLANK(AD20)),"N/A",IF(ABS((AD20-AB20)/AB20)&gt;0.25,"&gt; 25%","ok"))</f>
        <v>N/A</v>
      </c>
      <c r="CF20" s="79"/>
      <c r="CG20" s="79" t="str">
        <f>IF(OR(ISBLANK(AD20),ISBLANK(AF20)),"N/A",IF(ABS((AF20-AD20)/AD20)&gt;0.25,"&gt; 25%","ok"))</f>
        <v>N/A</v>
      </c>
      <c r="CH20" s="79"/>
      <c r="CI20" s="79" t="str">
        <f>IF(OR(ISBLANK(AF20),ISBLANK(AH20)),"N/A",IF(ABS((AH20-AF20)/AF20)&gt;0.25,"&gt; 25%","ok"))</f>
        <v>N/A</v>
      </c>
      <c r="CJ20" s="79"/>
      <c r="CK20" s="79" t="str">
        <f>IF(OR(ISBLANK(AH20),ISBLANK(AJ20)),"N/A",IF(ABS((AJ20-AH20)/AH20)&gt;0.25,"&gt; 25%","ok"))</f>
        <v>N/A</v>
      </c>
      <c r="CL20" s="79"/>
      <c r="CM20" s="79" t="str">
        <f>IF(OR(ISBLANK(AJ20),ISBLANK(AL20)),"N/A",IF(ABS((AL20-AJ20)/AJ20)&gt;0.25,"&gt; 25%","ok"))</f>
        <v>N/A</v>
      </c>
      <c r="CN20" s="79"/>
      <c r="CO20" s="79" t="str">
        <f>IF(OR(ISBLANK(AL20),ISBLANK(AN20)),"N/A",IF(ABS((AN20-AL20)/AL20)&gt;0.25,"&gt; 25%","ok"))</f>
        <v>N/A</v>
      </c>
      <c r="CP20" s="79"/>
      <c r="CQ20" s="79" t="str">
        <f>IF(OR(ISBLANK(AN20),ISBLANK(AP20)),"N/A",IF(ABS((AP20-AN20)/AN20)&gt;0.25,"&gt; 25%","ok"))</f>
        <v>N/A</v>
      </c>
      <c r="CR20" s="79"/>
      <c r="CS20" s="79" t="str">
        <f>IF(OR(ISBLANK(AP20),ISBLANK(AR20)),"N/A",IF(ABS((AR20-AP20)/AP20)&gt;0.25,"&gt; 25%","ok"))</f>
        <v>N/A</v>
      </c>
      <c r="CT20" s="79"/>
      <c r="CU20" s="79" t="str">
        <f>IF(OR(ISBLANK(AR20),ISBLANK(AT20)),"N/A",IF(ABS((AT20-AR20)/AR20)&gt;0.25,"&gt; 25%","ok"))</f>
        <v>N/A</v>
      </c>
      <c r="CV20" s="79"/>
      <c r="CW20" s="79" t="str">
        <f>IF(OR(ISBLANK(AT20),ISBLANK(AV20)),"N/A",IF(ABS((AV20-AT20)/AT20)&gt;0.25,"&gt; 25%","ok"))</f>
        <v>N/A</v>
      </c>
      <c r="CX20" s="79"/>
      <c r="CY20" s="79" t="str">
        <f>IF(OR(ISBLANK(AV20),ISBLANK(AX20)),"N/A",IF(ABS((AX20-AV20)/AV20)&gt;0.25,"&gt; 25%","ok"))</f>
        <v>N/A</v>
      </c>
      <c r="CZ20" s="79"/>
      <c r="DA20" s="79" t="str">
        <f t="shared" si="1"/>
        <v>N/A</v>
      </c>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c r="ED20" s="357"/>
      <c r="EE20" s="357"/>
      <c r="EF20" s="357"/>
      <c r="EG20" s="357"/>
      <c r="EH20" s="357"/>
      <c r="EI20" s="357"/>
      <c r="EJ20" s="357"/>
      <c r="EK20" s="357"/>
      <c r="EL20" s="357"/>
      <c r="EM20" s="357"/>
      <c r="EN20" s="357"/>
    </row>
    <row r="21" spans="1:144" s="406" customFormat="1" ht="15" customHeight="1" x14ac:dyDescent="0.2">
      <c r="A21" s="230"/>
      <c r="B21" s="390">
        <v>267</v>
      </c>
      <c r="C21" s="394">
        <v>13</v>
      </c>
      <c r="D21" s="408" t="s">
        <v>530</v>
      </c>
      <c r="E21" s="260" t="s">
        <v>60</v>
      </c>
      <c r="F21" s="579"/>
      <c r="G21" s="597"/>
      <c r="H21" s="579"/>
      <c r="I21" s="597"/>
      <c r="J21" s="579"/>
      <c r="K21" s="597"/>
      <c r="L21" s="579"/>
      <c r="M21" s="597"/>
      <c r="N21" s="579"/>
      <c r="O21" s="597"/>
      <c r="P21" s="579"/>
      <c r="Q21" s="597"/>
      <c r="R21" s="579"/>
      <c r="S21" s="597"/>
      <c r="T21" s="579"/>
      <c r="U21" s="597"/>
      <c r="V21" s="579"/>
      <c r="W21" s="597"/>
      <c r="X21" s="579"/>
      <c r="Y21" s="597"/>
      <c r="Z21" s="579"/>
      <c r="AA21" s="597"/>
      <c r="AB21" s="579"/>
      <c r="AC21" s="597"/>
      <c r="AD21" s="579"/>
      <c r="AE21" s="597"/>
      <c r="AF21" s="579"/>
      <c r="AG21" s="597"/>
      <c r="AH21" s="579"/>
      <c r="AI21" s="597"/>
      <c r="AJ21" s="579"/>
      <c r="AK21" s="597"/>
      <c r="AL21" s="579"/>
      <c r="AM21" s="597"/>
      <c r="AN21" s="579"/>
      <c r="AO21" s="597"/>
      <c r="AP21" s="579"/>
      <c r="AQ21" s="597"/>
      <c r="AR21" s="689"/>
      <c r="AS21" s="597"/>
      <c r="AT21" s="579"/>
      <c r="AU21" s="597"/>
      <c r="AV21" s="579"/>
      <c r="AW21" s="597"/>
      <c r="AX21" s="579"/>
      <c r="AY21" s="597"/>
      <c r="AZ21" s="579"/>
      <c r="BA21" s="597"/>
      <c r="BC21" s="233"/>
      <c r="BD21" s="612">
        <v>13</v>
      </c>
      <c r="BE21" s="409" t="s">
        <v>211</v>
      </c>
      <c r="BF21" s="81" t="s">
        <v>462</v>
      </c>
      <c r="BG21" s="107" t="s">
        <v>466</v>
      </c>
      <c r="BH21" s="266"/>
      <c r="BI21" s="79" t="str">
        <f t="shared" si="2"/>
        <v>N/A</v>
      </c>
      <c r="BJ21" s="266"/>
      <c r="BK21" s="79" t="str">
        <f t="shared" si="17"/>
        <v>N/A</v>
      </c>
      <c r="BL21" s="79"/>
      <c r="BM21" s="79" t="str">
        <f t="shared" si="18"/>
        <v>N/A</v>
      </c>
      <c r="BN21" s="79"/>
      <c r="BO21" s="79" t="str">
        <f t="shared" si="19"/>
        <v>N/A</v>
      </c>
      <c r="BP21" s="79"/>
      <c r="BQ21" s="79" t="str">
        <f t="shared" si="20"/>
        <v>N/A</v>
      </c>
      <c r="BR21" s="79"/>
      <c r="BS21" s="79" t="str">
        <f t="shared" si="3"/>
        <v>N/A</v>
      </c>
      <c r="BT21" s="79"/>
      <c r="BU21" s="79" t="str">
        <f t="shared" si="4"/>
        <v>N/A</v>
      </c>
      <c r="BV21" s="79"/>
      <c r="BW21" s="79" t="str">
        <f t="shared" si="5"/>
        <v>N/A</v>
      </c>
      <c r="BX21" s="79"/>
      <c r="BY21" s="79" t="str">
        <f t="shared" si="6"/>
        <v>N/A</v>
      </c>
      <c r="BZ21" s="79"/>
      <c r="CA21" s="79" t="str">
        <f t="shared" si="7"/>
        <v>N/A</v>
      </c>
      <c r="CB21" s="79"/>
      <c r="CC21" s="79" t="str">
        <f t="shared" si="8"/>
        <v>N/A</v>
      </c>
      <c r="CD21" s="79"/>
      <c r="CE21" s="79" t="str">
        <f t="shared" si="9"/>
        <v>N/A</v>
      </c>
      <c r="CF21" s="79"/>
      <c r="CG21" s="79" t="str">
        <f t="shared" si="10"/>
        <v>N/A</v>
      </c>
      <c r="CH21" s="79"/>
      <c r="CI21" s="79" t="str">
        <f t="shared" si="11"/>
        <v>N/A</v>
      </c>
      <c r="CJ21" s="79"/>
      <c r="CK21" s="79" t="str">
        <f t="shared" si="12"/>
        <v>N/A</v>
      </c>
      <c r="CL21" s="79"/>
      <c r="CM21" s="79" t="str">
        <f t="shared" si="13"/>
        <v>N/A</v>
      </c>
      <c r="CN21" s="79"/>
      <c r="CO21" s="79" t="str">
        <f t="shared" si="14"/>
        <v>N/A</v>
      </c>
      <c r="CP21" s="79"/>
      <c r="CQ21" s="79" t="str">
        <f t="shared" si="0"/>
        <v>N/A</v>
      </c>
      <c r="CR21" s="79"/>
      <c r="CS21" s="79" t="str">
        <f t="shared" si="15"/>
        <v>N/A</v>
      </c>
      <c r="CT21" s="79"/>
      <c r="CU21" s="79" t="str">
        <f t="shared" si="16"/>
        <v>N/A</v>
      </c>
      <c r="CV21" s="79"/>
      <c r="CW21" s="79" t="str">
        <f t="shared" si="21"/>
        <v>N/A</v>
      </c>
      <c r="CX21" s="79"/>
      <c r="CY21" s="79" t="str">
        <f t="shared" si="22"/>
        <v>N/A</v>
      </c>
      <c r="CZ21" s="79"/>
      <c r="DA21" s="79" t="str">
        <f t="shared" si="1"/>
        <v>N/A</v>
      </c>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c r="ED21" s="357"/>
      <c r="EE21" s="357"/>
      <c r="EF21" s="357"/>
      <c r="EG21" s="357"/>
      <c r="EH21" s="357"/>
      <c r="EI21" s="357"/>
      <c r="EJ21" s="357"/>
      <c r="EK21" s="357"/>
      <c r="EL21" s="357"/>
      <c r="EM21" s="357"/>
      <c r="EN21" s="357"/>
    </row>
    <row r="22" spans="1:144" s="406" customFormat="1" ht="15" customHeight="1" x14ac:dyDescent="0.2">
      <c r="A22" s="230"/>
      <c r="B22" s="390">
        <v>69</v>
      </c>
      <c r="C22" s="394">
        <v>14</v>
      </c>
      <c r="D22" s="391" t="s">
        <v>555</v>
      </c>
      <c r="E22" s="260" t="s">
        <v>60</v>
      </c>
      <c r="F22" s="579"/>
      <c r="G22" s="597"/>
      <c r="H22" s="579"/>
      <c r="I22" s="597"/>
      <c r="J22" s="579"/>
      <c r="K22" s="597"/>
      <c r="L22" s="579"/>
      <c r="M22" s="597"/>
      <c r="N22" s="579"/>
      <c r="O22" s="597"/>
      <c r="P22" s="579"/>
      <c r="Q22" s="597"/>
      <c r="R22" s="579"/>
      <c r="S22" s="597"/>
      <c r="T22" s="579"/>
      <c r="U22" s="597"/>
      <c r="V22" s="579"/>
      <c r="W22" s="597"/>
      <c r="X22" s="579"/>
      <c r="Y22" s="597"/>
      <c r="Z22" s="579"/>
      <c r="AA22" s="597"/>
      <c r="AB22" s="579"/>
      <c r="AC22" s="597"/>
      <c r="AD22" s="579"/>
      <c r="AE22" s="597"/>
      <c r="AF22" s="579"/>
      <c r="AG22" s="597"/>
      <c r="AH22" s="579"/>
      <c r="AI22" s="597"/>
      <c r="AJ22" s="579"/>
      <c r="AK22" s="597"/>
      <c r="AL22" s="579"/>
      <c r="AM22" s="597"/>
      <c r="AN22" s="579"/>
      <c r="AO22" s="597"/>
      <c r="AP22" s="579"/>
      <c r="AQ22" s="597"/>
      <c r="AR22" s="689"/>
      <c r="AS22" s="597"/>
      <c r="AT22" s="579"/>
      <c r="AU22" s="597"/>
      <c r="AV22" s="579"/>
      <c r="AW22" s="597"/>
      <c r="AX22" s="579"/>
      <c r="AY22" s="597"/>
      <c r="AZ22" s="579"/>
      <c r="BA22" s="597"/>
      <c r="BC22" s="233"/>
      <c r="BD22" s="612">
        <v>14</v>
      </c>
      <c r="BE22" s="315" t="s">
        <v>200</v>
      </c>
      <c r="BF22" s="81" t="s">
        <v>462</v>
      </c>
      <c r="BG22" s="79" t="s">
        <v>466</v>
      </c>
      <c r="BH22" s="266"/>
      <c r="BI22" s="79" t="str">
        <f t="shared" si="2"/>
        <v>N/A</v>
      </c>
      <c r="BJ22" s="266"/>
      <c r="BK22" s="79" t="str">
        <f t="shared" si="17"/>
        <v>N/A</v>
      </c>
      <c r="BL22" s="79"/>
      <c r="BM22" s="79" t="str">
        <f t="shared" si="18"/>
        <v>N/A</v>
      </c>
      <c r="BN22" s="79"/>
      <c r="BO22" s="79" t="str">
        <f>IF(OR(ISBLANK(L22),ISBLANK(N22)),"N/A",IF(ABS((N22-L22)/L22)&gt;0.25,"&gt; 25%","ok"))</f>
        <v>N/A</v>
      </c>
      <c r="BP22" s="79"/>
      <c r="BQ22" s="79" t="str">
        <f t="shared" si="20"/>
        <v>N/A</v>
      </c>
      <c r="BR22" s="79"/>
      <c r="BS22" s="79" t="str">
        <f t="shared" si="3"/>
        <v>N/A</v>
      </c>
      <c r="BT22" s="79"/>
      <c r="BU22" s="79" t="str">
        <f t="shared" si="4"/>
        <v>N/A</v>
      </c>
      <c r="BV22" s="79"/>
      <c r="BW22" s="79" t="str">
        <f t="shared" si="5"/>
        <v>N/A</v>
      </c>
      <c r="BX22" s="79"/>
      <c r="BY22" s="79" t="str">
        <f t="shared" si="6"/>
        <v>N/A</v>
      </c>
      <c r="BZ22" s="79"/>
      <c r="CA22" s="79" t="str">
        <f t="shared" si="7"/>
        <v>N/A</v>
      </c>
      <c r="CB22" s="79"/>
      <c r="CC22" s="79" t="str">
        <f t="shared" si="8"/>
        <v>N/A</v>
      </c>
      <c r="CD22" s="79"/>
      <c r="CE22" s="79" t="str">
        <f t="shared" si="9"/>
        <v>N/A</v>
      </c>
      <c r="CF22" s="79"/>
      <c r="CG22" s="79" t="str">
        <f t="shared" si="10"/>
        <v>N/A</v>
      </c>
      <c r="CH22" s="79"/>
      <c r="CI22" s="79" t="str">
        <f t="shared" si="11"/>
        <v>N/A</v>
      </c>
      <c r="CJ22" s="79"/>
      <c r="CK22" s="79" t="str">
        <f t="shared" si="12"/>
        <v>N/A</v>
      </c>
      <c r="CL22" s="79"/>
      <c r="CM22" s="79" t="str">
        <f t="shared" si="13"/>
        <v>N/A</v>
      </c>
      <c r="CN22" s="79"/>
      <c r="CO22" s="79" t="str">
        <f t="shared" si="14"/>
        <v>N/A</v>
      </c>
      <c r="CP22" s="79"/>
      <c r="CQ22" s="79" t="str">
        <f t="shared" si="0"/>
        <v>N/A</v>
      </c>
      <c r="CR22" s="79"/>
      <c r="CS22" s="79" t="str">
        <f t="shared" si="15"/>
        <v>N/A</v>
      </c>
      <c r="CT22" s="79"/>
      <c r="CU22" s="79" t="str">
        <f t="shared" si="16"/>
        <v>N/A</v>
      </c>
      <c r="CV22" s="79"/>
      <c r="CW22" s="79" t="str">
        <f t="shared" si="21"/>
        <v>N/A</v>
      </c>
      <c r="CX22" s="79"/>
      <c r="CY22" s="79" t="str">
        <f t="shared" si="22"/>
        <v>N/A</v>
      </c>
      <c r="CZ22" s="79"/>
      <c r="DA22" s="79" t="str">
        <f t="shared" si="1"/>
        <v>N/A</v>
      </c>
      <c r="DB22" s="357"/>
      <c r="DC22" s="357"/>
      <c r="DD22" s="357"/>
      <c r="DE22" s="357"/>
      <c r="DF22" s="357"/>
      <c r="DG22" s="357"/>
      <c r="DH22" s="357"/>
      <c r="DI22" s="357"/>
      <c r="DJ22" s="357"/>
      <c r="DK22" s="357"/>
      <c r="DL22" s="357"/>
      <c r="DM22" s="357"/>
      <c r="DN22" s="357"/>
      <c r="DO22" s="357"/>
      <c r="DP22" s="357"/>
      <c r="DQ22" s="357"/>
      <c r="DR22" s="357"/>
      <c r="DS22" s="357"/>
      <c r="DT22" s="357"/>
      <c r="DU22" s="357"/>
      <c r="DV22" s="357"/>
      <c r="DW22" s="357"/>
      <c r="DX22" s="357"/>
      <c r="DY22" s="357"/>
      <c r="DZ22" s="357"/>
      <c r="EA22" s="357"/>
      <c r="EB22" s="357"/>
      <c r="EC22" s="357"/>
      <c r="ED22" s="357"/>
      <c r="EE22" s="357"/>
      <c r="EF22" s="357"/>
      <c r="EG22" s="357"/>
      <c r="EH22" s="357"/>
      <c r="EI22" s="357"/>
      <c r="EJ22" s="357"/>
      <c r="EK22" s="357"/>
      <c r="EL22" s="357"/>
      <c r="EM22" s="357"/>
      <c r="EN22" s="357"/>
    </row>
    <row r="23" spans="1:144" s="406" customFormat="1" ht="15" customHeight="1" x14ac:dyDescent="0.2">
      <c r="A23" s="230"/>
      <c r="B23" s="390">
        <v>78</v>
      </c>
      <c r="C23" s="394">
        <v>15</v>
      </c>
      <c r="D23" s="391" t="s">
        <v>557</v>
      </c>
      <c r="E23" s="260" t="s">
        <v>60</v>
      </c>
      <c r="F23" s="579"/>
      <c r="G23" s="597"/>
      <c r="H23" s="579"/>
      <c r="I23" s="597"/>
      <c r="J23" s="579"/>
      <c r="K23" s="597"/>
      <c r="L23" s="579"/>
      <c r="M23" s="597"/>
      <c r="N23" s="579"/>
      <c r="O23" s="597"/>
      <c r="P23" s="579"/>
      <c r="Q23" s="597"/>
      <c r="R23" s="579"/>
      <c r="S23" s="597"/>
      <c r="T23" s="579"/>
      <c r="U23" s="597"/>
      <c r="V23" s="579"/>
      <c r="W23" s="597"/>
      <c r="X23" s="579"/>
      <c r="Y23" s="597"/>
      <c r="Z23" s="579"/>
      <c r="AA23" s="597"/>
      <c r="AB23" s="579"/>
      <c r="AC23" s="597"/>
      <c r="AD23" s="579"/>
      <c r="AE23" s="597"/>
      <c r="AF23" s="579"/>
      <c r="AG23" s="597"/>
      <c r="AH23" s="579"/>
      <c r="AI23" s="597"/>
      <c r="AJ23" s="579"/>
      <c r="AK23" s="597"/>
      <c r="AL23" s="579"/>
      <c r="AM23" s="597"/>
      <c r="AN23" s="579"/>
      <c r="AO23" s="597"/>
      <c r="AP23" s="579"/>
      <c r="AQ23" s="597"/>
      <c r="AR23" s="689"/>
      <c r="AS23" s="597"/>
      <c r="AT23" s="579"/>
      <c r="AU23" s="597"/>
      <c r="AV23" s="579"/>
      <c r="AW23" s="597"/>
      <c r="AX23" s="579"/>
      <c r="AY23" s="597"/>
      <c r="AZ23" s="579"/>
      <c r="BA23" s="597"/>
      <c r="BC23" s="233"/>
      <c r="BD23" s="612">
        <v>15</v>
      </c>
      <c r="BE23" s="315" t="s">
        <v>378</v>
      </c>
      <c r="BF23" s="81" t="s">
        <v>462</v>
      </c>
      <c r="BG23" s="79" t="s">
        <v>466</v>
      </c>
      <c r="BH23" s="266"/>
      <c r="BI23" s="79" t="str">
        <f t="shared" si="2"/>
        <v>N/A</v>
      </c>
      <c r="BJ23" s="266"/>
      <c r="BK23" s="79" t="str">
        <f t="shared" si="17"/>
        <v>N/A</v>
      </c>
      <c r="BL23" s="79"/>
      <c r="BM23" s="79" t="str">
        <f t="shared" si="18"/>
        <v>N/A</v>
      </c>
      <c r="BN23" s="79"/>
      <c r="BO23" s="79" t="str">
        <f t="shared" si="19"/>
        <v>N/A</v>
      </c>
      <c r="BP23" s="79"/>
      <c r="BQ23" s="79" t="str">
        <f t="shared" si="20"/>
        <v>N/A</v>
      </c>
      <c r="BR23" s="79"/>
      <c r="BS23" s="79" t="str">
        <f t="shared" si="3"/>
        <v>N/A</v>
      </c>
      <c r="BT23" s="79"/>
      <c r="BU23" s="79" t="str">
        <f t="shared" si="4"/>
        <v>N/A</v>
      </c>
      <c r="BV23" s="79"/>
      <c r="BW23" s="79" t="str">
        <f t="shared" si="5"/>
        <v>N/A</v>
      </c>
      <c r="BX23" s="79"/>
      <c r="BY23" s="79" t="str">
        <f t="shared" si="6"/>
        <v>N/A</v>
      </c>
      <c r="BZ23" s="79"/>
      <c r="CA23" s="79" t="str">
        <f t="shared" si="7"/>
        <v>N/A</v>
      </c>
      <c r="CB23" s="79"/>
      <c r="CC23" s="79" t="str">
        <f t="shared" si="8"/>
        <v>N/A</v>
      </c>
      <c r="CD23" s="79"/>
      <c r="CE23" s="79" t="str">
        <f t="shared" si="9"/>
        <v>N/A</v>
      </c>
      <c r="CF23" s="79"/>
      <c r="CG23" s="79" t="str">
        <f t="shared" si="10"/>
        <v>N/A</v>
      </c>
      <c r="CH23" s="79"/>
      <c r="CI23" s="79" t="str">
        <f t="shared" si="11"/>
        <v>N/A</v>
      </c>
      <c r="CJ23" s="79"/>
      <c r="CK23" s="79" t="str">
        <f t="shared" si="12"/>
        <v>N/A</v>
      </c>
      <c r="CL23" s="79"/>
      <c r="CM23" s="79" t="str">
        <f t="shared" si="13"/>
        <v>N/A</v>
      </c>
      <c r="CN23" s="79"/>
      <c r="CO23" s="79" t="str">
        <f t="shared" si="14"/>
        <v>N/A</v>
      </c>
      <c r="CP23" s="79"/>
      <c r="CQ23" s="79" t="str">
        <f t="shared" si="0"/>
        <v>N/A</v>
      </c>
      <c r="CR23" s="79"/>
      <c r="CS23" s="79" t="str">
        <f t="shared" si="15"/>
        <v>N/A</v>
      </c>
      <c r="CT23" s="79"/>
      <c r="CU23" s="79" t="str">
        <f t="shared" si="16"/>
        <v>N/A</v>
      </c>
      <c r="CV23" s="79"/>
      <c r="CW23" s="79" t="str">
        <f t="shared" si="21"/>
        <v>N/A</v>
      </c>
      <c r="CX23" s="79"/>
      <c r="CY23" s="79" t="str">
        <f t="shared" si="22"/>
        <v>N/A</v>
      </c>
      <c r="CZ23" s="79"/>
      <c r="DA23" s="79" t="str">
        <f t="shared" si="1"/>
        <v>N/A</v>
      </c>
      <c r="DB23" s="357"/>
      <c r="DC23" s="357"/>
      <c r="DD23" s="357"/>
      <c r="DE23" s="357"/>
      <c r="DF23" s="357"/>
      <c r="DG23" s="357"/>
      <c r="DH23" s="357"/>
      <c r="DI23" s="357"/>
      <c r="DJ23" s="357"/>
      <c r="DK23" s="357"/>
      <c r="DL23" s="357"/>
      <c r="DM23" s="357"/>
      <c r="DN23" s="357"/>
      <c r="DO23" s="357"/>
      <c r="DP23" s="357"/>
      <c r="DQ23" s="357"/>
      <c r="DR23" s="357"/>
      <c r="DS23" s="357"/>
      <c r="DT23" s="357"/>
      <c r="DU23" s="357"/>
      <c r="DV23" s="357"/>
      <c r="DW23" s="357"/>
      <c r="DX23" s="357"/>
      <c r="DY23" s="357"/>
      <c r="DZ23" s="357"/>
      <c r="EA23" s="357"/>
      <c r="EB23" s="357"/>
      <c r="EC23" s="357"/>
      <c r="ED23" s="357"/>
      <c r="EE23" s="357"/>
      <c r="EF23" s="357"/>
      <c r="EG23" s="357"/>
      <c r="EH23" s="357"/>
      <c r="EI23" s="357"/>
      <c r="EJ23" s="357"/>
      <c r="EK23" s="357"/>
      <c r="EL23" s="357"/>
      <c r="EM23" s="357"/>
      <c r="EN23" s="357"/>
    </row>
    <row r="24" spans="1:144" s="406" customFormat="1" ht="15" customHeight="1" x14ac:dyDescent="0.2">
      <c r="A24" s="230"/>
      <c r="B24" s="390">
        <v>2434</v>
      </c>
      <c r="C24" s="394">
        <v>16</v>
      </c>
      <c r="D24" s="391" t="s">
        <v>1</v>
      </c>
      <c r="E24" s="260" t="s">
        <v>60</v>
      </c>
      <c r="F24" s="579"/>
      <c r="G24" s="597"/>
      <c r="H24" s="579"/>
      <c r="I24" s="597"/>
      <c r="J24" s="579"/>
      <c r="K24" s="597"/>
      <c r="L24" s="579"/>
      <c r="M24" s="597"/>
      <c r="N24" s="579"/>
      <c r="O24" s="597"/>
      <c r="P24" s="579"/>
      <c r="Q24" s="597"/>
      <c r="R24" s="579"/>
      <c r="S24" s="597"/>
      <c r="T24" s="579"/>
      <c r="U24" s="597"/>
      <c r="V24" s="579"/>
      <c r="W24" s="597"/>
      <c r="X24" s="579"/>
      <c r="Y24" s="597"/>
      <c r="Z24" s="579"/>
      <c r="AA24" s="597"/>
      <c r="AB24" s="579"/>
      <c r="AC24" s="597"/>
      <c r="AD24" s="579"/>
      <c r="AE24" s="597"/>
      <c r="AF24" s="579"/>
      <c r="AG24" s="597"/>
      <c r="AH24" s="579"/>
      <c r="AI24" s="597"/>
      <c r="AJ24" s="579"/>
      <c r="AK24" s="597"/>
      <c r="AL24" s="579"/>
      <c r="AM24" s="597"/>
      <c r="AN24" s="579"/>
      <c r="AO24" s="597"/>
      <c r="AP24" s="579"/>
      <c r="AQ24" s="597"/>
      <c r="AR24" s="689"/>
      <c r="AS24" s="597"/>
      <c r="AT24" s="579"/>
      <c r="AU24" s="597"/>
      <c r="AV24" s="579"/>
      <c r="AW24" s="597"/>
      <c r="AX24" s="579"/>
      <c r="AY24" s="597"/>
      <c r="AZ24" s="579"/>
      <c r="BA24" s="597"/>
      <c r="BC24" s="233"/>
      <c r="BD24" s="612">
        <v>16</v>
      </c>
      <c r="BE24" s="315" t="s">
        <v>377</v>
      </c>
      <c r="BF24" s="81" t="s">
        <v>462</v>
      </c>
      <c r="BG24" s="79" t="s">
        <v>466</v>
      </c>
      <c r="BH24" s="266"/>
      <c r="BI24" s="79" t="str">
        <f t="shared" si="2"/>
        <v>N/A</v>
      </c>
      <c r="BJ24" s="266"/>
      <c r="BK24" s="79" t="str">
        <f t="shared" si="17"/>
        <v>N/A</v>
      </c>
      <c r="BL24" s="79"/>
      <c r="BM24" s="79" t="str">
        <f>IF(OR(ISBLANK(J24),ISBLANK(L24)),"N/A",IF(ABS((L24-J24)/J24)&gt;0.25,"&gt; 25%","ok"))</f>
        <v>N/A</v>
      </c>
      <c r="BN24" s="79"/>
      <c r="BO24" s="79" t="str">
        <f t="shared" si="19"/>
        <v>N/A</v>
      </c>
      <c r="BP24" s="79"/>
      <c r="BQ24" s="79" t="str">
        <f t="shared" si="20"/>
        <v>N/A</v>
      </c>
      <c r="BR24" s="79"/>
      <c r="BS24" s="79" t="str">
        <f t="shared" si="3"/>
        <v>N/A</v>
      </c>
      <c r="BT24" s="79"/>
      <c r="BU24" s="79" t="str">
        <f t="shared" si="4"/>
        <v>N/A</v>
      </c>
      <c r="BV24" s="79"/>
      <c r="BW24" s="79" t="str">
        <f t="shared" si="5"/>
        <v>N/A</v>
      </c>
      <c r="BX24" s="79"/>
      <c r="BY24" s="79" t="str">
        <f t="shared" si="6"/>
        <v>N/A</v>
      </c>
      <c r="BZ24" s="79"/>
      <c r="CA24" s="79" t="str">
        <f t="shared" si="7"/>
        <v>N/A</v>
      </c>
      <c r="CB24" s="79"/>
      <c r="CC24" s="79" t="str">
        <f t="shared" si="8"/>
        <v>N/A</v>
      </c>
      <c r="CD24" s="79"/>
      <c r="CE24" s="79" t="str">
        <f t="shared" si="9"/>
        <v>N/A</v>
      </c>
      <c r="CF24" s="79"/>
      <c r="CG24" s="79" t="str">
        <f t="shared" si="10"/>
        <v>N/A</v>
      </c>
      <c r="CH24" s="79"/>
      <c r="CI24" s="79" t="str">
        <f t="shared" si="11"/>
        <v>N/A</v>
      </c>
      <c r="CJ24" s="79"/>
      <c r="CK24" s="79" t="str">
        <f t="shared" si="12"/>
        <v>N/A</v>
      </c>
      <c r="CL24" s="79"/>
      <c r="CM24" s="79" t="str">
        <f t="shared" si="13"/>
        <v>N/A</v>
      </c>
      <c r="CN24" s="79"/>
      <c r="CO24" s="79" t="str">
        <f t="shared" si="14"/>
        <v>N/A</v>
      </c>
      <c r="CP24" s="79"/>
      <c r="CQ24" s="79" t="str">
        <f t="shared" si="0"/>
        <v>N/A</v>
      </c>
      <c r="CR24" s="79"/>
      <c r="CS24" s="79" t="str">
        <f t="shared" si="15"/>
        <v>N/A</v>
      </c>
      <c r="CT24" s="79"/>
      <c r="CU24" s="79" t="str">
        <f t="shared" si="16"/>
        <v>N/A</v>
      </c>
      <c r="CV24" s="79"/>
      <c r="CW24" s="79" t="str">
        <f t="shared" si="21"/>
        <v>N/A</v>
      </c>
      <c r="CX24" s="79"/>
      <c r="CY24" s="79" t="str">
        <f t="shared" si="22"/>
        <v>N/A</v>
      </c>
      <c r="CZ24" s="79"/>
      <c r="DA24" s="79" t="str">
        <f t="shared" si="1"/>
        <v>N/A</v>
      </c>
      <c r="DB24" s="357"/>
      <c r="DC24" s="357"/>
      <c r="DD24" s="357"/>
      <c r="DE24" s="357"/>
      <c r="DF24" s="357"/>
      <c r="DG24" s="357"/>
      <c r="DH24" s="357"/>
      <c r="DI24" s="357"/>
      <c r="DJ24" s="357"/>
      <c r="DK24" s="357"/>
      <c r="DL24" s="357"/>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c r="EJ24" s="357"/>
      <c r="EK24" s="357"/>
      <c r="EL24" s="357"/>
      <c r="EM24" s="357"/>
      <c r="EN24" s="357"/>
    </row>
    <row r="25" spans="1:144" s="406" customFormat="1" ht="15" customHeight="1" x14ac:dyDescent="0.2">
      <c r="A25" s="230"/>
      <c r="B25" s="390">
        <v>2435</v>
      </c>
      <c r="C25" s="394">
        <v>17</v>
      </c>
      <c r="D25" s="391" t="s">
        <v>3</v>
      </c>
      <c r="E25" s="260" t="s">
        <v>60</v>
      </c>
      <c r="F25" s="579"/>
      <c r="G25" s="597"/>
      <c r="H25" s="579"/>
      <c r="I25" s="597"/>
      <c r="J25" s="579"/>
      <c r="K25" s="597"/>
      <c r="L25" s="579"/>
      <c r="M25" s="597"/>
      <c r="N25" s="579"/>
      <c r="O25" s="597"/>
      <c r="P25" s="579"/>
      <c r="Q25" s="597"/>
      <c r="R25" s="579"/>
      <c r="S25" s="597"/>
      <c r="T25" s="579"/>
      <c r="U25" s="597"/>
      <c r="V25" s="579"/>
      <c r="W25" s="597"/>
      <c r="X25" s="579"/>
      <c r="Y25" s="597"/>
      <c r="Z25" s="579"/>
      <c r="AA25" s="597"/>
      <c r="AB25" s="579"/>
      <c r="AC25" s="597"/>
      <c r="AD25" s="579"/>
      <c r="AE25" s="597"/>
      <c r="AF25" s="579"/>
      <c r="AG25" s="597"/>
      <c r="AH25" s="579"/>
      <c r="AI25" s="597"/>
      <c r="AJ25" s="579"/>
      <c r="AK25" s="597"/>
      <c r="AL25" s="579"/>
      <c r="AM25" s="597"/>
      <c r="AN25" s="579"/>
      <c r="AO25" s="597"/>
      <c r="AP25" s="579"/>
      <c r="AQ25" s="597"/>
      <c r="AR25" s="689"/>
      <c r="AS25" s="597"/>
      <c r="AT25" s="579"/>
      <c r="AU25" s="597"/>
      <c r="AV25" s="579"/>
      <c r="AW25" s="597"/>
      <c r="AX25" s="579"/>
      <c r="AY25" s="597"/>
      <c r="AZ25" s="579"/>
      <c r="BA25" s="597"/>
      <c r="BC25" s="233"/>
      <c r="BD25" s="612">
        <v>17</v>
      </c>
      <c r="BE25" s="315" t="s">
        <v>468</v>
      </c>
      <c r="BF25" s="81" t="s">
        <v>462</v>
      </c>
      <c r="BG25" s="79" t="s">
        <v>466</v>
      </c>
      <c r="BH25" s="266"/>
      <c r="BI25" s="79" t="str">
        <f t="shared" si="2"/>
        <v>N/A</v>
      </c>
      <c r="BJ25" s="266"/>
      <c r="BK25" s="79" t="str">
        <f t="shared" si="17"/>
        <v>N/A</v>
      </c>
      <c r="BL25" s="79"/>
      <c r="BM25" s="79" t="str">
        <f t="shared" si="18"/>
        <v>N/A</v>
      </c>
      <c r="BN25" s="79"/>
      <c r="BO25" s="79" t="str">
        <f t="shared" si="19"/>
        <v>N/A</v>
      </c>
      <c r="BP25" s="79"/>
      <c r="BQ25" s="79" t="str">
        <f t="shared" si="20"/>
        <v>N/A</v>
      </c>
      <c r="BR25" s="79"/>
      <c r="BS25" s="79" t="str">
        <f t="shared" si="3"/>
        <v>N/A</v>
      </c>
      <c r="BT25" s="79"/>
      <c r="BU25" s="79" t="str">
        <f t="shared" si="4"/>
        <v>N/A</v>
      </c>
      <c r="BV25" s="79"/>
      <c r="BW25" s="79" t="str">
        <f t="shared" si="5"/>
        <v>N/A</v>
      </c>
      <c r="BX25" s="79"/>
      <c r="BY25" s="79" t="str">
        <f t="shared" si="6"/>
        <v>N/A</v>
      </c>
      <c r="BZ25" s="79"/>
      <c r="CA25" s="79" t="str">
        <f t="shared" si="7"/>
        <v>N/A</v>
      </c>
      <c r="CB25" s="79"/>
      <c r="CC25" s="79" t="str">
        <f t="shared" si="8"/>
        <v>N/A</v>
      </c>
      <c r="CD25" s="79"/>
      <c r="CE25" s="79" t="str">
        <f t="shared" si="9"/>
        <v>N/A</v>
      </c>
      <c r="CF25" s="79"/>
      <c r="CG25" s="79" t="str">
        <f t="shared" si="10"/>
        <v>N/A</v>
      </c>
      <c r="CH25" s="79"/>
      <c r="CI25" s="79" t="str">
        <f t="shared" si="11"/>
        <v>N/A</v>
      </c>
      <c r="CJ25" s="79"/>
      <c r="CK25" s="79" t="str">
        <f t="shared" si="12"/>
        <v>N/A</v>
      </c>
      <c r="CL25" s="79"/>
      <c r="CM25" s="79" t="str">
        <f t="shared" si="13"/>
        <v>N/A</v>
      </c>
      <c r="CN25" s="79"/>
      <c r="CO25" s="79" t="str">
        <f t="shared" si="14"/>
        <v>N/A</v>
      </c>
      <c r="CP25" s="79"/>
      <c r="CQ25" s="79" t="str">
        <f t="shared" si="0"/>
        <v>N/A</v>
      </c>
      <c r="CR25" s="79"/>
      <c r="CS25" s="79" t="str">
        <f t="shared" si="15"/>
        <v>N/A</v>
      </c>
      <c r="CT25" s="79"/>
      <c r="CU25" s="79" t="str">
        <f t="shared" si="16"/>
        <v>N/A</v>
      </c>
      <c r="CV25" s="79"/>
      <c r="CW25" s="79" t="str">
        <f t="shared" si="21"/>
        <v>N/A</v>
      </c>
      <c r="CX25" s="79"/>
      <c r="CY25" s="79" t="str">
        <f t="shared" si="22"/>
        <v>N/A</v>
      </c>
      <c r="CZ25" s="79"/>
      <c r="DA25" s="79" t="str">
        <f t="shared" si="1"/>
        <v>N/A</v>
      </c>
      <c r="DB25" s="357"/>
      <c r="DC25" s="357"/>
      <c r="DD25" s="357"/>
      <c r="DE25" s="357"/>
      <c r="DF25" s="357"/>
      <c r="DG25" s="357"/>
      <c r="DH25" s="357"/>
      <c r="DI25" s="357"/>
      <c r="DJ25" s="357"/>
      <c r="DK25" s="357"/>
      <c r="DL25" s="357"/>
      <c r="DM25" s="357"/>
      <c r="DN25" s="357"/>
      <c r="DO25" s="357"/>
      <c r="DP25" s="357"/>
      <c r="DQ25" s="357"/>
      <c r="DR25" s="357"/>
      <c r="DS25" s="357"/>
      <c r="DT25" s="357"/>
      <c r="DU25" s="357"/>
      <c r="DV25" s="357"/>
      <c r="DW25" s="357"/>
      <c r="DX25" s="357"/>
      <c r="DY25" s="357"/>
      <c r="DZ25" s="357"/>
      <c r="EA25" s="357"/>
      <c r="EB25" s="357"/>
      <c r="EC25" s="357"/>
      <c r="ED25" s="357"/>
      <c r="EE25" s="357"/>
      <c r="EF25" s="357"/>
      <c r="EG25" s="357"/>
      <c r="EH25" s="357"/>
      <c r="EI25" s="357"/>
      <c r="EJ25" s="357"/>
      <c r="EK25" s="357"/>
      <c r="EL25" s="357"/>
      <c r="EM25" s="357"/>
      <c r="EN25" s="357"/>
    </row>
    <row r="26" spans="1:144" s="412" customFormat="1" ht="27" customHeight="1" x14ac:dyDescent="0.2">
      <c r="A26" s="411" t="s">
        <v>457</v>
      </c>
      <c r="B26" s="397">
        <v>79</v>
      </c>
      <c r="C26" s="398">
        <v>18</v>
      </c>
      <c r="D26" s="399" t="s">
        <v>581</v>
      </c>
      <c r="E26" s="260" t="s">
        <v>60</v>
      </c>
      <c r="F26" s="579"/>
      <c r="G26" s="597"/>
      <c r="H26" s="579"/>
      <c r="I26" s="597"/>
      <c r="J26" s="579"/>
      <c r="K26" s="597"/>
      <c r="L26" s="579"/>
      <c r="M26" s="597"/>
      <c r="N26" s="579"/>
      <c r="O26" s="597"/>
      <c r="P26" s="579"/>
      <c r="Q26" s="597"/>
      <c r="R26" s="579"/>
      <c r="S26" s="597"/>
      <c r="T26" s="579"/>
      <c r="U26" s="597"/>
      <c r="V26" s="579"/>
      <c r="W26" s="597"/>
      <c r="X26" s="579"/>
      <c r="Y26" s="597"/>
      <c r="Z26" s="579"/>
      <c r="AA26" s="597"/>
      <c r="AB26" s="579"/>
      <c r="AC26" s="597"/>
      <c r="AD26" s="579"/>
      <c r="AE26" s="597"/>
      <c r="AF26" s="579"/>
      <c r="AG26" s="597"/>
      <c r="AH26" s="579"/>
      <c r="AI26" s="597"/>
      <c r="AJ26" s="579"/>
      <c r="AK26" s="597"/>
      <c r="AL26" s="579"/>
      <c r="AM26" s="597"/>
      <c r="AN26" s="579"/>
      <c r="AO26" s="597"/>
      <c r="AP26" s="579"/>
      <c r="AQ26" s="597"/>
      <c r="AR26" s="689"/>
      <c r="AS26" s="597"/>
      <c r="AT26" s="579">
        <f>AT10</f>
        <v>139957.24116679913</v>
      </c>
      <c r="AU26" s="597" t="s">
        <v>21</v>
      </c>
      <c r="AV26" s="579">
        <f>AV10</f>
        <v>143598.05283136433</v>
      </c>
      <c r="AW26" s="597" t="s">
        <v>21</v>
      </c>
      <c r="AX26" s="579">
        <f>AX10</f>
        <v>154283.51529388927</v>
      </c>
      <c r="AY26" s="597" t="s">
        <v>21</v>
      </c>
      <c r="AZ26" s="579"/>
      <c r="BA26" s="597"/>
      <c r="BC26" s="413"/>
      <c r="BD26" s="642">
        <v>18</v>
      </c>
      <c r="BE26" s="403" t="s">
        <v>588</v>
      </c>
      <c r="BF26" s="81" t="s">
        <v>462</v>
      </c>
      <c r="BG26" s="79" t="s">
        <v>466</v>
      </c>
      <c r="BH26" s="404"/>
      <c r="BI26" s="79" t="str">
        <f t="shared" si="2"/>
        <v>N/A</v>
      </c>
      <c r="BJ26" s="404"/>
      <c r="BK26" s="79" t="str">
        <f t="shared" si="17"/>
        <v>N/A</v>
      </c>
      <c r="BL26" s="107"/>
      <c r="BM26" s="79" t="str">
        <f t="shared" si="18"/>
        <v>N/A</v>
      </c>
      <c r="BN26" s="107"/>
      <c r="BO26" s="79" t="str">
        <f t="shared" si="19"/>
        <v>N/A</v>
      </c>
      <c r="BP26" s="107"/>
      <c r="BQ26" s="79" t="str">
        <f t="shared" si="20"/>
        <v>N/A</v>
      </c>
      <c r="BR26" s="107"/>
      <c r="BS26" s="79" t="str">
        <f t="shared" si="3"/>
        <v>N/A</v>
      </c>
      <c r="BT26" s="107"/>
      <c r="BU26" s="79" t="str">
        <f t="shared" si="4"/>
        <v>N/A</v>
      </c>
      <c r="BV26" s="107"/>
      <c r="BW26" s="79" t="str">
        <f t="shared" si="5"/>
        <v>N/A</v>
      </c>
      <c r="BX26" s="107"/>
      <c r="BY26" s="79" t="str">
        <f t="shared" si="6"/>
        <v>N/A</v>
      </c>
      <c r="BZ26" s="107"/>
      <c r="CA26" s="79" t="str">
        <f t="shared" si="7"/>
        <v>N/A</v>
      </c>
      <c r="CB26" s="107"/>
      <c r="CC26" s="79" t="str">
        <f t="shared" si="8"/>
        <v>N/A</v>
      </c>
      <c r="CD26" s="107"/>
      <c r="CE26" s="79" t="str">
        <f t="shared" si="9"/>
        <v>N/A</v>
      </c>
      <c r="CF26" s="107"/>
      <c r="CG26" s="79" t="str">
        <f t="shared" si="10"/>
        <v>N/A</v>
      </c>
      <c r="CH26" s="107"/>
      <c r="CI26" s="79" t="str">
        <f t="shared" si="11"/>
        <v>N/A</v>
      </c>
      <c r="CJ26" s="107"/>
      <c r="CK26" s="79" t="str">
        <f t="shared" si="12"/>
        <v>N/A</v>
      </c>
      <c r="CL26" s="107"/>
      <c r="CM26" s="79" t="str">
        <f t="shared" si="13"/>
        <v>N/A</v>
      </c>
      <c r="CN26" s="107"/>
      <c r="CO26" s="79" t="str">
        <f t="shared" si="14"/>
        <v>N/A</v>
      </c>
      <c r="CP26" s="107"/>
      <c r="CQ26" s="79" t="str">
        <f t="shared" si="0"/>
        <v>N/A</v>
      </c>
      <c r="CR26" s="107"/>
      <c r="CS26" s="79" t="str">
        <f t="shared" si="15"/>
        <v>N/A</v>
      </c>
      <c r="CT26" s="107"/>
      <c r="CU26" s="79" t="str">
        <f t="shared" si="16"/>
        <v>N/A</v>
      </c>
      <c r="CV26" s="107"/>
      <c r="CW26" s="79" t="str">
        <f t="shared" si="21"/>
        <v>ok</v>
      </c>
      <c r="CX26" s="107"/>
      <c r="CY26" s="79" t="str">
        <f t="shared" si="22"/>
        <v>ok</v>
      </c>
      <c r="CZ26" s="107"/>
      <c r="DA26" s="79" t="str">
        <f t="shared" si="1"/>
        <v>N/A</v>
      </c>
      <c r="DB26" s="414"/>
      <c r="DC26" s="414"/>
      <c r="DD26" s="414"/>
      <c r="DE26" s="414"/>
      <c r="DF26" s="414"/>
      <c r="DG26" s="414"/>
      <c r="DH26" s="414"/>
      <c r="DI26" s="414"/>
      <c r="DJ26" s="414"/>
      <c r="DK26" s="414"/>
      <c r="DL26" s="414"/>
      <c r="DM26" s="414"/>
      <c r="DN26" s="414"/>
      <c r="DO26" s="414"/>
      <c r="DP26" s="414"/>
      <c r="DQ26" s="414"/>
      <c r="DR26" s="414"/>
      <c r="DS26" s="414"/>
      <c r="DT26" s="414"/>
      <c r="DU26" s="414"/>
      <c r="DV26" s="414"/>
      <c r="DW26" s="414"/>
      <c r="DX26" s="414"/>
      <c r="DY26" s="414"/>
      <c r="DZ26" s="414"/>
      <c r="EA26" s="414"/>
      <c r="EB26" s="414"/>
      <c r="EC26" s="414"/>
      <c r="ED26" s="414"/>
      <c r="EE26" s="414"/>
      <c r="EF26" s="414"/>
      <c r="EG26" s="414"/>
      <c r="EH26" s="414"/>
      <c r="EI26" s="414"/>
      <c r="EJ26" s="414"/>
      <c r="EK26" s="414"/>
      <c r="EL26" s="414"/>
      <c r="EM26" s="414"/>
      <c r="EN26" s="414"/>
    </row>
    <row r="27" spans="1:144" s="412" customFormat="1" ht="15" customHeight="1" x14ac:dyDescent="0.2">
      <c r="A27" s="415"/>
      <c r="B27" s="397">
        <v>34</v>
      </c>
      <c r="C27" s="398">
        <v>19</v>
      </c>
      <c r="D27" s="399" t="s">
        <v>6</v>
      </c>
      <c r="E27" s="260" t="s">
        <v>60</v>
      </c>
      <c r="F27" s="579"/>
      <c r="G27" s="597"/>
      <c r="H27" s="579"/>
      <c r="I27" s="597"/>
      <c r="J27" s="579"/>
      <c r="K27" s="597"/>
      <c r="L27" s="579"/>
      <c r="M27" s="597"/>
      <c r="N27" s="579"/>
      <c r="O27" s="597"/>
      <c r="P27" s="579"/>
      <c r="Q27" s="597"/>
      <c r="R27" s="579"/>
      <c r="S27" s="597"/>
      <c r="T27" s="579"/>
      <c r="U27" s="597"/>
      <c r="V27" s="579"/>
      <c r="W27" s="597"/>
      <c r="X27" s="579"/>
      <c r="Y27" s="597"/>
      <c r="Z27" s="579"/>
      <c r="AA27" s="597"/>
      <c r="AB27" s="579"/>
      <c r="AC27" s="597"/>
      <c r="AD27" s="579"/>
      <c r="AE27" s="597"/>
      <c r="AF27" s="579"/>
      <c r="AG27" s="597"/>
      <c r="AH27" s="579"/>
      <c r="AI27" s="597"/>
      <c r="AJ27" s="579"/>
      <c r="AK27" s="597"/>
      <c r="AL27" s="579"/>
      <c r="AM27" s="597"/>
      <c r="AN27" s="579"/>
      <c r="AO27" s="597"/>
      <c r="AP27" s="579"/>
      <c r="AQ27" s="597"/>
      <c r="AR27" s="689"/>
      <c r="AS27" s="597"/>
      <c r="AT27" s="579">
        <v>17183.402178755023</v>
      </c>
      <c r="AU27" s="597" t="s">
        <v>682</v>
      </c>
      <c r="AV27" s="579">
        <v>18091.919939791722</v>
      </c>
      <c r="AW27" s="597" t="s">
        <v>682</v>
      </c>
      <c r="AX27" s="579">
        <v>18585.809879173514</v>
      </c>
      <c r="AY27" s="597" t="s">
        <v>682</v>
      </c>
      <c r="AZ27" s="579"/>
      <c r="BA27" s="597"/>
      <c r="BC27" s="413"/>
      <c r="BD27" s="642">
        <v>19</v>
      </c>
      <c r="BE27" s="403" t="s">
        <v>387</v>
      </c>
      <c r="BF27" s="81" t="s">
        <v>462</v>
      </c>
      <c r="BG27" s="79" t="s">
        <v>466</v>
      </c>
      <c r="BH27" s="404"/>
      <c r="BI27" s="79" t="str">
        <f t="shared" si="2"/>
        <v>N/A</v>
      </c>
      <c r="BJ27" s="404"/>
      <c r="BK27" s="79" t="str">
        <f t="shared" si="17"/>
        <v>N/A</v>
      </c>
      <c r="BL27" s="107"/>
      <c r="BM27" s="79" t="str">
        <f t="shared" si="18"/>
        <v>N/A</v>
      </c>
      <c r="BN27" s="107"/>
      <c r="BO27" s="79" t="str">
        <f t="shared" si="19"/>
        <v>N/A</v>
      </c>
      <c r="BP27" s="107"/>
      <c r="BQ27" s="79" t="str">
        <f t="shared" si="20"/>
        <v>N/A</v>
      </c>
      <c r="BR27" s="107"/>
      <c r="BS27" s="79" t="str">
        <f t="shared" si="3"/>
        <v>N/A</v>
      </c>
      <c r="BT27" s="107"/>
      <c r="BU27" s="79" t="str">
        <f t="shared" si="4"/>
        <v>N/A</v>
      </c>
      <c r="BV27" s="107"/>
      <c r="BW27" s="79" t="str">
        <f t="shared" si="5"/>
        <v>N/A</v>
      </c>
      <c r="BX27" s="107"/>
      <c r="BY27" s="79" t="str">
        <f t="shared" si="6"/>
        <v>N/A</v>
      </c>
      <c r="BZ27" s="107"/>
      <c r="CA27" s="79" t="str">
        <f t="shared" si="7"/>
        <v>N/A</v>
      </c>
      <c r="CB27" s="107"/>
      <c r="CC27" s="79" t="str">
        <f t="shared" si="8"/>
        <v>N/A</v>
      </c>
      <c r="CD27" s="107"/>
      <c r="CE27" s="79" t="str">
        <f t="shared" si="9"/>
        <v>N/A</v>
      </c>
      <c r="CF27" s="107"/>
      <c r="CG27" s="79" t="str">
        <f t="shared" si="10"/>
        <v>N/A</v>
      </c>
      <c r="CH27" s="107"/>
      <c r="CI27" s="79" t="str">
        <f t="shared" si="11"/>
        <v>N/A</v>
      </c>
      <c r="CJ27" s="107"/>
      <c r="CK27" s="79" t="str">
        <f t="shared" si="12"/>
        <v>N/A</v>
      </c>
      <c r="CL27" s="107"/>
      <c r="CM27" s="79" t="str">
        <f t="shared" si="13"/>
        <v>N/A</v>
      </c>
      <c r="CN27" s="107"/>
      <c r="CO27" s="79" t="str">
        <f t="shared" si="14"/>
        <v>N/A</v>
      </c>
      <c r="CP27" s="107"/>
      <c r="CQ27" s="79" t="str">
        <f t="shared" si="0"/>
        <v>N/A</v>
      </c>
      <c r="CR27" s="107"/>
      <c r="CS27" s="79" t="str">
        <f t="shared" si="15"/>
        <v>N/A</v>
      </c>
      <c r="CT27" s="107"/>
      <c r="CU27" s="79" t="str">
        <f t="shared" si="16"/>
        <v>N/A</v>
      </c>
      <c r="CV27" s="107"/>
      <c r="CW27" s="79" t="str">
        <f t="shared" si="21"/>
        <v>ok</v>
      </c>
      <c r="CX27" s="107"/>
      <c r="CY27" s="79" t="str">
        <f t="shared" si="22"/>
        <v>ok</v>
      </c>
      <c r="CZ27" s="107"/>
      <c r="DA27" s="79" t="str">
        <f t="shared" si="1"/>
        <v>N/A</v>
      </c>
      <c r="DB27" s="414"/>
      <c r="DC27" s="414"/>
      <c r="DD27" s="414"/>
      <c r="DE27" s="414"/>
      <c r="DF27" s="414"/>
      <c r="DG27" s="414"/>
      <c r="DH27" s="414"/>
      <c r="DI27" s="414"/>
      <c r="DJ27" s="414"/>
      <c r="DK27" s="414"/>
      <c r="DL27" s="414"/>
      <c r="DM27" s="414"/>
      <c r="DN27" s="414"/>
      <c r="DO27" s="414"/>
      <c r="DP27" s="414"/>
      <c r="DQ27" s="414"/>
      <c r="DR27" s="414"/>
      <c r="DS27" s="414"/>
      <c r="DT27" s="414"/>
      <c r="DU27" s="414"/>
      <c r="DV27" s="414"/>
      <c r="DW27" s="414"/>
      <c r="DX27" s="414"/>
      <c r="DY27" s="414"/>
      <c r="DZ27" s="414"/>
      <c r="EA27" s="414"/>
      <c r="EB27" s="414"/>
      <c r="EC27" s="414"/>
      <c r="ED27" s="414"/>
      <c r="EE27" s="414"/>
      <c r="EF27" s="414"/>
      <c r="EG27" s="414"/>
      <c r="EH27" s="414"/>
      <c r="EI27" s="414"/>
      <c r="EJ27" s="414"/>
      <c r="EK27" s="414"/>
      <c r="EL27" s="414"/>
      <c r="EM27" s="414"/>
      <c r="EN27" s="414"/>
    </row>
    <row r="28" spans="1:144" s="412" customFormat="1" ht="15" customHeight="1" x14ac:dyDescent="0.2">
      <c r="A28" s="415" t="s">
        <v>457</v>
      </c>
      <c r="B28" s="397">
        <v>35</v>
      </c>
      <c r="C28" s="398">
        <v>20</v>
      </c>
      <c r="D28" s="399" t="s">
        <v>582</v>
      </c>
      <c r="E28" s="260" t="s">
        <v>60</v>
      </c>
      <c r="F28" s="579"/>
      <c r="G28" s="597"/>
      <c r="H28" s="579"/>
      <c r="I28" s="597"/>
      <c r="J28" s="579"/>
      <c r="K28" s="597"/>
      <c r="L28" s="579"/>
      <c r="M28" s="597"/>
      <c r="N28" s="579"/>
      <c r="O28" s="597"/>
      <c r="P28" s="579"/>
      <c r="Q28" s="597"/>
      <c r="R28" s="579"/>
      <c r="S28" s="597"/>
      <c r="T28" s="579"/>
      <c r="U28" s="597"/>
      <c r="V28" s="579"/>
      <c r="W28" s="597"/>
      <c r="X28" s="579"/>
      <c r="Y28" s="597"/>
      <c r="Z28" s="579"/>
      <c r="AA28" s="597"/>
      <c r="AB28" s="579"/>
      <c r="AC28" s="597"/>
      <c r="AD28" s="579"/>
      <c r="AE28" s="597"/>
      <c r="AF28" s="579"/>
      <c r="AG28" s="597"/>
      <c r="AH28" s="579"/>
      <c r="AI28" s="597"/>
      <c r="AJ28" s="579"/>
      <c r="AK28" s="597"/>
      <c r="AL28" s="579"/>
      <c r="AM28" s="597"/>
      <c r="AN28" s="579"/>
      <c r="AO28" s="597"/>
      <c r="AP28" s="579"/>
      <c r="AQ28" s="597"/>
      <c r="AR28" s="689"/>
      <c r="AS28" s="597"/>
      <c r="AT28" s="579">
        <f>AT26-AT27</f>
        <v>122773.8389880441</v>
      </c>
      <c r="AU28" s="597" t="s">
        <v>21</v>
      </c>
      <c r="AV28" s="579">
        <f>AV26-AV27</f>
        <v>125506.1328915726</v>
      </c>
      <c r="AW28" s="597" t="s">
        <v>21</v>
      </c>
      <c r="AX28" s="579">
        <f>AX26-AX27</f>
        <v>135697.70541471575</v>
      </c>
      <c r="AY28" s="597" t="s">
        <v>21</v>
      </c>
      <c r="AZ28" s="579"/>
      <c r="BA28" s="597"/>
      <c r="BC28" s="413"/>
      <c r="BD28" s="642">
        <v>20</v>
      </c>
      <c r="BE28" s="403" t="s">
        <v>589</v>
      </c>
      <c r="BF28" s="81" t="s">
        <v>462</v>
      </c>
      <c r="BG28" s="107" t="s">
        <v>466</v>
      </c>
      <c r="BH28" s="404"/>
      <c r="BI28" s="79" t="str">
        <f t="shared" si="2"/>
        <v>N/A</v>
      </c>
      <c r="BJ28" s="404"/>
      <c r="BK28" s="79" t="str">
        <f t="shared" si="17"/>
        <v>N/A</v>
      </c>
      <c r="BL28" s="107"/>
      <c r="BM28" s="79" t="str">
        <f t="shared" si="18"/>
        <v>N/A</v>
      </c>
      <c r="BN28" s="107"/>
      <c r="BO28" s="79" t="str">
        <f t="shared" si="19"/>
        <v>N/A</v>
      </c>
      <c r="BP28" s="107"/>
      <c r="BQ28" s="79" t="str">
        <f t="shared" si="20"/>
        <v>N/A</v>
      </c>
      <c r="BR28" s="107"/>
      <c r="BS28" s="79" t="str">
        <f t="shared" si="3"/>
        <v>N/A</v>
      </c>
      <c r="BT28" s="107"/>
      <c r="BU28" s="79" t="str">
        <f t="shared" si="4"/>
        <v>N/A</v>
      </c>
      <c r="BV28" s="107"/>
      <c r="BW28" s="79" t="str">
        <f t="shared" si="5"/>
        <v>N/A</v>
      </c>
      <c r="BX28" s="107"/>
      <c r="BY28" s="79" t="str">
        <f t="shared" si="6"/>
        <v>N/A</v>
      </c>
      <c r="BZ28" s="107"/>
      <c r="CA28" s="79" t="str">
        <f t="shared" si="7"/>
        <v>N/A</v>
      </c>
      <c r="CB28" s="107"/>
      <c r="CC28" s="79" t="str">
        <f t="shared" si="8"/>
        <v>N/A</v>
      </c>
      <c r="CD28" s="107"/>
      <c r="CE28" s="79" t="str">
        <f t="shared" si="9"/>
        <v>N/A</v>
      </c>
      <c r="CF28" s="107"/>
      <c r="CG28" s="79" t="str">
        <f t="shared" si="10"/>
        <v>N/A</v>
      </c>
      <c r="CH28" s="107"/>
      <c r="CI28" s="79" t="str">
        <f t="shared" si="11"/>
        <v>N/A</v>
      </c>
      <c r="CJ28" s="107"/>
      <c r="CK28" s="79" t="str">
        <f t="shared" si="12"/>
        <v>N/A</v>
      </c>
      <c r="CL28" s="107"/>
      <c r="CM28" s="79" t="str">
        <f t="shared" si="13"/>
        <v>N/A</v>
      </c>
      <c r="CN28" s="107"/>
      <c r="CO28" s="79" t="str">
        <f t="shared" si="14"/>
        <v>N/A</v>
      </c>
      <c r="CP28" s="107"/>
      <c r="CQ28" s="79" t="str">
        <f t="shared" si="0"/>
        <v>N/A</v>
      </c>
      <c r="CR28" s="107"/>
      <c r="CS28" s="79" t="str">
        <f t="shared" si="15"/>
        <v>N/A</v>
      </c>
      <c r="CT28" s="107"/>
      <c r="CU28" s="79" t="str">
        <f t="shared" si="16"/>
        <v>N/A</v>
      </c>
      <c r="CV28" s="107"/>
      <c r="CW28" s="79" t="str">
        <f t="shared" si="21"/>
        <v>ok</v>
      </c>
      <c r="CX28" s="107"/>
      <c r="CY28" s="79" t="str">
        <f t="shared" si="22"/>
        <v>ok</v>
      </c>
      <c r="CZ28" s="107"/>
      <c r="DA28" s="79" t="str">
        <f t="shared" si="1"/>
        <v>N/A</v>
      </c>
      <c r="DB28" s="414"/>
      <c r="DC28" s="414"/>
      <c r="DD28" s="414"/>
      <c r="DE28" s="414"/>
      <c r="DF28" s="414"/>
      <c r="DG28" s="414"/>
      <c r="DH28" s="414"/>
      <c r="DI28" s="414"/>
      <c r="DJ28" s="414"/>
      <c r="DK28" s="414"/>
      <c r="DL28" s="414"/>
      <c r="DM28" s="414"/>
      <c r="DN28" s="414"/>
      <c r="DO28" s="414"/>
      <c r="DP28" s="414"/>
      <c r="DQ28" s="414"/>
      <c r="DR28" s="414"/>
      <c r="DS28" s="414"/>
      <c r="DT28" s="414"/>
      <c r="DU28" s="414"/>
      <c r="DV28" s="414"/>
      <c r="DW28" s="414"/>
      <c r="DX28" s="414"/>
      <c r="DY28" s="414"/>
      <c r="DZ28" s="414"/>
      <c r="EA28" s="414"/>
      <c r="EB28" s="414"/>
      <c r="EC28" s="414"/>
      <c r="ED28" s="414"/>
      <c r="EE28" s="414"/>
      <c r="EF28" s="414"/>
      <c r="EG28" s="414"/>
      <c r="EH28" s="414"/>
      <c r="EI28" s="414"/>
      <c r="EJ28" s="414"/>
      <c r="EK28" s="414"/>
      <c r="EL28" s="414"/>
      <c r="EM28" s="414"/>
      <c r="EN28" s="414"/>
    </row>
    <row r="29" spans="1:144" s="406" customFormat="1" ht="12" customHeight="1" x14ac:dyDescent="0.2">
      <c r="A29" s="230"/>
      <c r="B29" s="390">
        <v>5010</v>
      </c>
      <c r="C29" s="394"/>
      <c r="D29" s="611" t="s">
        <v>125</v>
      </c>
      <c r="E29" s="612"/>
      <c r="F29" s="607"/>
      <c r="G29" s="608"/>
      <c r="H29" s="607"/>
      <c r="I29" s="608"/>
      <c r="J29" s="607"/>
      <c r="K29" s="608"/>
      <c r="L29" s="607"/>
      <c r="M29" s="608"/>
      <c r="N29" s="607"/>
      <c r="O29" s="608"/>
      <c r="P29" s="607"/>
      <c r="Q29" s="608"/>
      <c r="R29" s="607"/>
      <c r="S29" s="608"/>
      <c r="T29" s="607"/>
      <c r="U29" s="608"/>
      <c r="V29" s="607"/>
      <c r="W29" s="608"/>
      <c r="X29" s="607"/>
      <c r="Y29" s="608"/>
      <c r="Z29" s="607"/>
      <c r="AA29" s="608"/>
      <c r="AB29" s="607"/>
      <c r="AC29" s="608"/>
      <c r="AD29" s="607"/>
      <c r="AE29" s="608"/>
      <c r="AF29" s="607"/>
      <c r="AG29" s="608"/>
      <c r="AH29" s="607"/>
      <c r="AI29" s="608"/>
      <c r="AJ29" s="607"/>
      <c r="AK29" s="608"/>
      <c r="AL29" s="607"/>
      <c r="AM29" s="608"/>
      <c r="AN29" s="607"/>
      <c r="AO29" s="608"/>
      <c r="AP29" s="607"/>
      <c r="AQ29" s="608"/>
      <c r="AR29" s="691"/>
      <c r="AS29" s="608"/>
      <c r="AT29" s="607"/>
      <c r="AU29" s="608"/>
      <c r="AV29" s="607"/>
      <c r="AW29" s="608"/>
      <c r="AX29" s="607"/>
      <c r="AY29" s="608"/>
      <c r="AZ29" s="607"/>
      <c r="BA29" s="608"/>
      <c r="BC29" s="233"/>
      <c r="BD29" s="612"/>
      <c r="BE29" s="407" t="s">
        <v>331</v>
      </c>
      <c r="BF29" s="81"/>
      <c r="BG29" s="79"/>
      <c r="BH29" s="266"/>
      <c r="BI29" s="79"/>
      <c r="BJ29" s="266"/>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t="str">
        <f t="shared" si="1"/>
        <v>N/A</v>
      </c>
      <c r="DB29" s="357"/>
      <c r="DC29" s="357"/>
      <c r="DD29" s="357"/>
      <c r="DE29" s="357"/>
      <c r="DF29" s="357"/>
      <c r="DG29" s="357"/>
      <c r="DH29" s="357"/>
      <c r="DI29" s="357"/>
      <c r="DJ29" s="357"/>
      <c r="DK29" s="357"/>
      <c r="DL29" s="357"/>
      <c r="DM29" s="357"/>
      <c r="DN29" s="357"/>
      <c r="DO29" s="357"/>
      <c r="DP29" s="357"/>
      <c r="DQ29" s="357"/>
      <c r="DR29" s="357"/>
      <c r="DS29" s="357"/>
      <c r="DT29" s="357"/>
      <c r="DU29" s="357"/>
      <c r="DV29" s="357"/>
      <c r="DW29" s="357"/>
      <c r="DX29" s="357"/>
      <c r="DY29" s="357"/>
      <c r="DZ29" s="357"/>
      <c r="EA29" s="357"/>
      <c r="EB29" s="357"/>
      <c r="EC29" s="357"/>
      <c r="ED29" s="357"/>
      <c r="EE29" s="357"/>
      <c r="EF29" s="357"/>
      <c r="EG29" s="357"/>
      <c r="EH29" s="357"/>
      <c r="EI29" s="357"/>
      <c r="EJ29" s="357"/>
      <c r="EK29" s="357"/>
      <c r="EL29" s="357"/>
      <c r="EM29" s="357"/>
      <c r="EN29" s="357"/>
    </row>
    <row r="30" spans="1:144" s="406" customFormat="1" ht="15" customHeight="1" x14ac:dyDescent="0.2">
      <c r="A30" s="230"/>
      <c r="B30" s="390">
        <v>279</v>
      </c>
      <c r="C30" s="394">
        <v>21</v>
      </c>
      <c r="D30" s="674" t="s">
        <v>528</v>
      </c>
      <c r="E30" s="260" t="s">
        <v>60</v>
      </c>
      <c r="F30" s="579"/>
      <c r="G30" s="597"/>
      <c r="H30" s="579"/>
      <c r="I30" s="597"/>
      <c r="J30" s="579"/>
      <c r="K30" s="597"/>
      <c r="L30" s="579"/>
      <c r="M30" s="597"/>
      <c r="N30" s="579"/>
      <c r="O30" s="597"/>
      <c r="P30" s="579"/>
      <c r="Q30" s="597"/>
      <c r="R30" s="579"/>
      <c r="S30" s="597"/>
      <c r="T30" s="579"/>
      <c r="U30" s="597"/>
      <c r="V30" s="579"/>
      <c r="W30" s="597"/>
      <c r="X30" s="579"/>
      <c r="Y30" s="597"/>
      <c r="Z30" s="579"/>
      <c r="AA30" s="597"/>
      <c r="AB30" s="579"/>
      <c r="AC30" s="597"/>
      <c r="AD30" s="579"/>
      <c r="AE30" s="597"/>
      <c r="AF30" s="579"/>
      <c r="AG30" s="597"/>
      <c r="AH30" s="579"/>
      <c r="AI30" s="597"/>
      <c r="AJ30" s="579"/>
      <c r="AK30" s="597"/>
      <c r="AL30" s="579"/>
      <c r="AM30" s="597"/>
      <c r="AN30" s="579"/>
      <c r="AO30" s="597"/>
      <c r="AP30" s="579"/>
      <c r="AQ30" s="597"/>
      <c r="AR30" s="689"/>
      <c r="AS30" s="597"/>
      <c r="AT30" s="579">
        <f>AT13</f>
        <v>2385.9176060321051</v>
      </c>
      <c r="AU30" s="597" t="s">
        <v>21</v>
      </c>
      <c r="AV30" s="579">
        <f>AV13</f>
        <v>2436.9749653281651</v>
      </c>
      <c r="AW30" s="597" t="s">
        <v>21</v>
      </c>
      <c r="AX30" s="579">
        <f>AX13</f>
        <v>2292.2356744486406</v>
      </c>
      <c r="AY30" s="597" t="s">
        <v>21</v>
      </c>
      <c r="AZ30" s="579"/>
      <c r="BA30" s="597"/>
      <c r="BC30" s="233"/>
      <c r="BD30" s="612">
        <v>21</v>
      </c>
      <c r="BE30" s="315" t="s">
        <v>277</v>
      </c>
      <c r="BF30" s="81" t="s">
        <v>462</v>
      </c>
      <c r="BG30" s="79" t="s">
        <v>466</v>
      </c>
      <c r="BH30" s="266"/>
      <c r="BI30" s="79" t="str">
        <f t="shared" si="2"/>
        <v>N/A</v>
      </c>
      <c r="BJ30" s="266"/>
      <c r="BK30" s="79" t="str">
        <f t="shared" ref="BK30:BK38" si="23">IF(OR(ISBLANK(H30),ISBLANK(J30)),"N/A",IF(ABS((J30-H30)/H30)&gt;0.25,"&gt; 25%","ok"))</f>
        <v>N/A</v>
      </c>
      <c r="BL30" s="79"/>
      <c r="BM30" s="79" t="str">
        <f t="shared" ref="BM30:BM38" si="24">IF(OR(ISBLANK(J30),ISBLANK(L30)),"N/A",IF(ABS((L30-J30)/J30)&gt;0.25,"&gt; 25%","ok"))</f>
        <v>N/A</v>
      </c>
      <c r="BN30" s="79"/>
      <c r="BO30" s="79" t="str">
        <f t="shared" ref="BO30:BO38" si="25">IF(OR(ISBLANK(L30),ISBLANK(N30)),"N/A",IF(ABS((N30-L30)/L30)&gt;0.25,"&gt; 25%","ok"))</f>
        <v>N/A</v>
      </c>
      <c r="BP30" s="79"/>
      <c r="BQ30" s="79" t="str">
        <f t="shared" ref="BQ30:BQ38" si="26">IF(OR(ISBLANK(N30),ISBLANK(P30)),"N/A",IF(ABS((P30-N30)/N30)&gt;0.25,"&gt; 25%","ok"))</f>
        <v>N/A</v>
      </c>
      <c r="BR30" s="79"/>
      <c r="BS30" s="79" t="str">
        <f t="shared" si="3"/>
        <v>N/A</v>
      </c>
      <c r="BT30" s="79"/>
      <c r="BU30" s="79" t="str">
        <f t="shared" si="4"/>
        <v>N/A</v>
      </c>
      <c r="BV30" s="79"/>
      <c r="BW30" s="79" t="str">
        <f t="shared" si="5"/>
        <v>N/A</v>
      </c>
      <c r="BX30" s="79"/>
      <c r="BY30" s="79" t="str">
        <f>IF(OR(ISBLANK(V30),ISBLANK(X30)),"N/A",IF(ABS((X30-V30)/V30)&gt;0.25,"&gt; 25%","ok"))</f>
        <v>N/A</v>
      </c>
      <c r="BZ30" s="79"/>
      <c r="CA30" s="79" t="str">
        <f t="shared" si="7"/>
        <v>N/A</v>
      </c>
      <c r="CB30" s="79"/>
      <c r="CC30" s="79" t="str">
        <f t="shared" si="8"/>
        <v>N/A</v>
      </c>
      <c r="CD30" s="79"/>
      <c r="CE30" s="79" t="str">
        <f t="shared" si="9"/>
        <v>N/A</v>
      </c>
      <c r="CF30" s="79"/>
      <c r="CG30" s="79" t="str">
        <f t="shared" si="10"/>
        <v>N/A</v>
      </c>
      <c r="CH30" s="79"/>
      <c r="CI30" s="79" t="str">
        <f t="shared" si="11"/>
        <v>N/A</v>
      </c>
      <c r="CJ30" s="79"/>
      <c r="CK30" s="79" t="str">
        <f t="shared" si="12"/>
        <v>N/A</v>
      </c>
      <c r="CL30" s="79"/>
      <c r="CM30" s="79" t="str">
        <f t="shared" si="13"/>
        <v>N/A</v>
      </c>
      <c r="CN30" s="79"/>
      <c r="CO30" s="79" t="str">
        <f t="shared" si="14"/>
        <v>N/A</v>
      </c>
      <c r="CP30" s="79"/>
      <c r="CQ30" s="79" t="str">
        <f t="shared" si="0"/>
        <v>N/A</v>
      </c>
      <c r="CR30" s="79"/>
      <c r="CS30" s="79" t="str">
        <f t="shared" si="15"/>
        <v>N/A</v>
      </c>
      <c r="CT30" s="79"/>
      <c r="CU30" s="79" t="str">
        <f t="shared" si="16"/>
        <v>N/A</v>
      </c>
      <c r="CV30" s="79"/>
      <c r="CW30" s="79" t="str">
        <f t="shared" ref="CW30:CW38" si="27">IF(OR(ISBLANK(AT30),ISBLANK(AV30)),"N/A",IF(ABS((AV30-AT30)/AT30)&gt;0.25,"&gt; 25%","ok"))</f>
        <v>ok</v>
      </c>
      <c r="CX30" s="79"/>
      <c r="CY30" s="79" t="str">
        <f t="shared" ref="CY30:CY38" si="28">IF(OR(ISBLANK(AV30),ISBLANK(AX30)),"N/A",IF(ABS((AX30-AV30)/AV30)&gt;0.25,"&gt; 25%","ok"))</f>
        <v>ok</v>
      </c>
      <c r="CZ30" s="79"/>
      <c r="DA30" s="79" t="str">
        <f t="shared" si="1"/>
        <v>N/A</v>
      </c>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357"/>
      <c r="EI30" s="357"/>
      <c r="EJ30" s="357"/>
      <c r="EK30" s="357"/>
      <c r="EL30" s="357"/>
      <c r="EM30" s="357"/>
      <c r="EN30" s="357"/>
    </row>
    <row r="31" spans="1:144" s="406" customFormat="1" ht="15" customHeight="1" x14ac:dyDescent="0.2">
      <c r="A31" s="230"/>
      <c r="B31" s="390">
        <v>280</v>
      </c>
      <c r="C31" s="394">
        <v>22</v>
      </c>
      <c r="D31" s="674" t="s">
        <v>124</v>
      </c>
      <c r="E31" s="260" t="s">
        <v>60</v>
      </c>
      <c r="F31" s="573"/>
      <c r="G31" s="594"/>
      <c r="H31" s="573"/>
      <c r="I31" s="594"/>
      <c r="J31" s="573"/>
      <c r="K31" s="594"/>
      <c r="L31" s="573"/>
      <c r="M31" s="594"/>
      <c r="N31" s="573"/>
      <c r="O31" s="594"/>
      <c r="P31" s="573"/>
      <c r="Q31" s="594"/>
      <c r="R31" s="573"/>
      <c r="S31" s="594"/>
      <c r="T31" s="573"/>
      <c r="U31" s="594"/>
      <c r="V31" s="573"/>
      <c r="W31" s="594"/>
      <c r="X31" s="573"/>
      <c r="Y31" s="594"/>
      <c r="Z31" s="573"/>
      <c r="AA31" s="594"/>
      <c r="AB31" s="573"/>
      <c r="AC31" s="594"/>
      <c r="AD31" s="573"/>
      <c r="AE31" s="594"/>
      <c r="AF31" s="573"/>
      <c r="AG31" s="594"/>
      <c r="AH31" s="573"/>
      <c r="AI31" s="594"/>
      <c r="AJ31" s="573"/>
      <c r="AK31" s="594"/>
      <c r="AL31" s="573"/>
      <c r="AM31" s="594"/>
      <c r="AN31" s="573"/>
      <c r="AO31" s="594"/>
      <c r="AP31" s="573"/>
      <c r="AQ31" s="594"/>
      <c r="AR31" s="692"/>
      <c r="AS31" s="594"/>
      <c r="AT31" s="573">
        <f>AT14</f>
        <v>78766.305710567409</v>
      </c>
      <c r="AU31" s="594" t="s">
        <v>21</v>
      </c>
      <c r="AV31" s="573">
        <f>AV14</f>
        <v>82859.717716090745</v>
      </c>
      <c r="AW31" s="594" t="s">
        <v>21</v>
      </c>
      <c r="AX31" s="573">
        <f>AX14</f>
        <v>85219.733670646208</v>
      </c>
      <c r="AY31" s="594" t="s">
        <v>21</v>
      </c>
      <c r="AZ31" s="573"/>
      <c r="BA31" s="594"/>
      <c r="BC31" s="233"/>
      <c r="BD31" s="647">
        <v>22</v>
      </c>
      <c r="BE31" s="315" t="s">
        <v>143</v>
      </c>
      <c r="BF31" s="81" t="s">
        <v>462</v>
      </c>
      <c r="BG31" s="79" t="s">
        <v>466</v>
      </c>
      <c r="BH31" s="270"/>
      <c r="BI31" s="79" t="str">
        <f t="shared" si="2"/>
        <v>N/A</v>
      </c>
      <c r="BJ31" s="266"/>
      <c r="BK31" s="79" t="str">
        <f t="shared" si="23"/>
        <v>N/A</v>
      </c>
      <c r="BL31" s="79"/>
      <c r="BM31" s="79" t="str">
        <f t="shared" si="24"/>
        <v>N/A</v>
      </c>
      <c r="BN31" s="79"/>
      <c r="BO31" s="79" t="str">
        <f t="shared" si="25"/>
        <v>N/A</v>
      </c>
      <c r="BP31" s="79"/>
      <c r="BQ31" s="79" t="str">
        <f t="shared" si="26"/>
        <v>N/A</v>
      </c>
      <c r="BR31" s="79"/>
      <c r="BS31" s="79" t="str">
        <f t="shared" si="3"/>
        <v>N/A</v>
      </c>
      <c r="BT31" s="79"/>
      <c r="BU31" s="79" t="str">
        <f t="shared" si="4"/>
        <v>N/A</v>
      </c>
      <c r="BV31" s="79"/>
      <c r="BW31" s="79" t="str">
        <f t="shared" si="5"/>
        <v>N/A</v>
      </c>
      <c r="BX31" s="79"/>
      <c r="BY31" s="79" t="str">
        <f t="shared" si="6"/>
        <v>N/A</v>
      </c>
      <c r="BZ31" s="79"/>
      <c r="CA31" s="79" t="str">
        <f t="shared" si="7"/>
        <v>N/A</v>
      </c>
      <c r="CB31" s="79"/>
      <c r="CC31" s="79" t="str">
        <f t="shared" si="8"/>
        <v>N/A</v>
      </c>
      <c r="CD31" s="79"/>
      <c r="CE31" s="79" t="str">
        <f t="shared" si="9"/>
        <v>N/A</v>
      </c>
      <c r="CF31" s="79"/>
      <c r="CG31" s="79" t="str">
        <f t="shared" si="10"/>
        <v>N/A</v>
      </c>
      <c r="CH31" s="79"/>
      <c r="CI31" s="79" t="str">
        <f t="shared" si="11"/>
        <v>N/A</v>
      </c>
      <c r="CJ31" s="79"/>
      <c r="CK31" s="79" t="str">
        <f t="shared" si="12"/>
        <v>N/A</v>
      </c>
      <c r="CL31" s="79"/>
      <c r="CM31" s="79" t="str">
        <f t="shared" si="13"/>
        <v>N/A</v>
      </c>
      <c r="CN31" s="79"/>
      <c r="CO31" s="79" t="str">
        <f t="shared" si="14"/>
        <v>N/A</v>
      </c>
      <c r="CP31" s="79"/>
      <c r="CQ31" s="79" t="str">
        <f t="shared" si="0"/>
        <v>N/A</v>
      </c>
      <c r="CR31" s="79"/>
      <c r="CS31" s="79" t="str">
        <f t="shared" si="15"/>
        <v>N/A</v>
      </c>
      <c r="CT31" s="79"/>
      <c r="CU31" s="79" t="str">
        <f t="shared" si="16"/>
        <v>N/A</v>
      </c>
      <c r="CV31" s="79"/>
      <c r="CW31" s="79" t="str">
        <f t="shared" si="27"/>
        <v>ok</v>
      </c>
      <c r="CX31" s="79"/>
      <c r="CY31" s="79" t="str">
        <f t="shared" si="28"/>
        <v>ok</v>
      </c>
      <c r="CZ31" s="79"/>
      <c r="DA31" s="79" t="str">
        <f t="shared" si="1"/>
        <v>N/A</v>
      </c>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c r="ED31" s="357"/>
      <c r="EE31" s="357"/>
      <c r="EF31" s="357"/>
      <c r="EG31" s="357"/>
      <c r="EH31" s="357"/>
      <c r="EI31" s="357"/>
      <c r="EJ31" s="357"/>
      <c r="EK31" s="357"/>
      <c r="EL31" s="357"/>
      <c r="EM31" s="357"/>
      <c r="EN31" s="357"/>
    </row>
    <row r="32" spans="1:144" s="406" customFormat="1" ht="15" customHeight="1" x14ac:dyDescent="0.2">
      <c r="A32" s="230"/>
      <c r="B32" s="390">
        <v>281</v>
      </c>
      <c r="C32" s="394">
        <v>23</v>
      </c>
      <c r="D32" s="683" t="s">
        <v>674</v>
      </c>
      <c r="E32" s="260" t="s">
        <v>60</v>
      </c>
      <c r="F32" s="573"/>
      <c r="G32" s="594"/>
      <c r="H32" s="573"/>
      <c r="I32" s="594"/>
      <c r="J32" s="573"/>
      <c r="K32" s="594"/>
      <c r="L32" s="573"/>
      <c r="M32" s="594"/>
      <c r="N32" s="573"/>
      <c r="O32" s="594"/>
      <c r="P32" s="573"/>
      <c r="Q32" s="594"/>
      <c r="R32" s="573"/>
      <c r="S32" s="594"/>
      <c r="T32" s="573"/>
      <c r="U32" s="594"/>
      <c r="V32" s="573"/>
      <c r="W32" s="594"/>
      <c r="X32" s="573"/>
      <c r="Y32" s="594"/>
      <c r="Z32" s="573"/>
      <c r="AA32" s="594"/>
      <c r="AB32" s="573"/>
      <c r="AC32" s="594"/>
      <c r="AD32" s="573"/>
      <c r="AE32" s="594"/>
      <c r="AF32" s="573"/>
      <c r="AG32" s="594"/>
      <c r="AH32" s="573"/>
      <c r="AI32" s="594"/>
      <c r="AJ32" s="573"/>
      <c r="AK32" s="594"/>
      <c r="AL32" s="573"/>
      <c r="AM32" s="594"/>
      <c r="AN32" s="573"/>
      <c r="AO32" s="594"/>
      <c r="AP32" s="573"/>
      <c r="AQ32" s="594"/>
      <c r="AR32" s="692"/>
      <c r="AS32" s="594"/>
      <c r="AT32" s="573"/>
      <c r="AU32" s="594"/>
      <c r="AV32" s="573"/>
      <c r="AW32" s="594"/>
      <c r="AX32" s="573"/>
      <c r="AY32" s="594"/>
      <c r="AZ32" s="573"/>
      <c r="BA32" s="594"/>
      <c r="BC32" s="233"/>
      <c r="BD32" s="647">
        <v>23</v>
      </c>
      <c r="BE32" s="315" t="s">
        <v>590</v>
      </c>
      <c r="BF32" s="81" t="s">
        <v>462</v>
      </c>
      <c r="BG32" s="79"/>
      <c r="BH32" s="270"/>
      <c r="BI32" s="79" t="str">
        <f t="shared" si="2"/>
        <v>N/A</v>
      </c>
      <c r="BJ32" s="266"/>
      <c r="BK32" s="79" t="str">
        <f t="shared" si="23"/>
        <v>N/A</v>
      </c>
      <c r="BL32" s="79"/>
      <c r="BM32" s="79" t="str">
        <f t="shared" si="24"/>
        <v>N/A</v>
      </c>
      <c r="BN32" s="79"/>
      <c r="BO32" s="79" t="str">
        <f t="shared" si="25"/>
        <v>N/A</v>
      </c>
      <c r="BP32" s="79"/>
      <c r="BQ32" s="79" t="str">
        <f>IF(OR(ISBLANK(N32),ISBLANK(P32)),"N/A",IF(ABS((P32-N32)/N32)&gt;0.25,"&gt; 25%","ok"))</f>
        <v>N/A</v>
      </c>
      <c r="BR32" s="79"/>
      <c r="BS32" s="79" t="str">
        <f t="shared" si="3"/>
        <v>N/A</v>
      </c>
      <c r="BT32" s="79"/>
      <c r="BU32" s="79" t="str">
        <f t="shared" si="4"/>
        <v>N/A</v>
      </c>
      <c r="BV32" s="79"/>
      <c r="BW32" s="79" t="str">
        <f t="shared" si="5"/>
        <v>N/A</v>
      </c>
      <c r="BX32" s="79"/>
      <c r="BY32" s="79" t="str">
        <f t="shared" si="6"/>
        <v>N/A</v>
      </c>
      <c r="BZ32" s="79"/>
      <c r="CA32" s="79" t="str">
        <f t="shared" si="7"/>
        <v>N/A</v>
      </c>
      <c r="CB32" s="79"/>
      <c r="CC32" s="79" t="str">
        <f t="shared" si="8"/>
        <v>N/A</v>
      </c>
      <c r="CD32" s="79"/>
      <c r="CE32" s="79" t="str">
        <f t="shared" si="9"/>
        <v>N/A</v>
      </c>
      <c r="CF32" s="79"/>
      <c r="CG32" s="79" t="str">
        <f t="shared" si="10"/>
        <v>N/A</v>
      </c>
      <c r="CH32" s="79"/>
      <c r="CI32" s="79" t="str">
        <f t="shared" si="11"/>
        <v>N/A</v>
      </c>
      <c r="CJ32" s="79"/>
      <c r="CK32" s="79" t="str">
        <f t="shared" si="12"/>
        <v>N/A</v>
      </c>
      <c r="CL32" s="79"/>
      <c r="CM32" s="79" t="str">
        <f t="shared" si="13"/>
        <v>N/A</v>
      </c>
      <c r="CN32" s="79"/>
      <c r="CO32" s="79" t="str">
        <f t="shared" si="14"/>
        <v>N/A</v>
      </c>
      <c r="CP32" s="79"/>
      <c r="CQ32" s="79" t="str">
        <f t="shared" si="0"/>
        <v>N/A</v>
      </c>
      <c r="CR32" s="79"/>
      <c r="CS32" s="79" t="str">
        <f t="shared" si="15"/>
        <v>N/A</v>
      </c>
      <c r="CT32" s="79"/>
      <c r="CU32" s="79" t="str">
        <f t="shared" si="16"/>
        <v>N/A</v>
      </c>
      <c r="CV32" s="79"/>
      <c r="CW32" s="79" t="str">
        <f t="shared" si="27"/>
        <v>N/A</v>
      </c>
      <c r="CX32" s="79"/>
      <c r="CY32" s="79" t="str">
        <f t="shared" si="28"/>
        <v>N/A</v>
      </c>
      <c r="CZ32" s="79"/>
      <c r="DA32" s="79" t="str">
        <f t="shared" si="1"/>
        <v>N/A</v>
      </c>
      <c r="DB32" s="357"/>
      <c r="DC32" s="357"/>
      <c r="DD32" s="357"/>
      <c r="DE32" s="357"/>
      <c r="DF32" s="357"/>
      <c r="DG32" s="357"/>
      <c r="DH32" s="357"/>
      <c r="DI32" s="357"/>
      <c r="DJ32" s="357"/>
      <c r="DK32" s="357"/>
      <c r="DL32" s="357"/>
      <c r="DM32" s="357"/>
      <c r="DN32" s="357"/>
      <c r="DO32" s="357"/>
      <c r="DP32" s="357"/>
      <c r="DQ32" s="357"/>
      <c r="DR32" s="357"/>
      <c r="DS32" s="357"/>
      <c r="DT32" s="357"/>
      <c r="DU32" s="357"/>
      <c r="DV32" s="357"/>
      <c r="DW32" s="357"/>
      <c r="DX32" s="357"/>
      <c r="DY32" s="357"/>
      <c r="DZ32" s="357"/>
      <c r="EA32" s="357"/>
      <c r="EB32" s="357"/>
      <c r="EC32" s="357"/>
      <c r="ED32" s="357"/>
      <c r="EE32" s="357"/>
      <c r="EF32" s="357"/>
      <c r="EG32" s="357"/>
      <c r="EH32" s="357"/>
      <c r="EI32" s="357"/>
      <c r="EJ32" s="357"/>
      <c r="EK32" s="357"/>
      <c r="EL32" s="357"/>
      <c r="EM32" s="357"/>
      <c r="EN32" s="357"/>
    </row>
    <row r="33" spans="1:144" s="406" customFormat="1" ht="15" customHeight="1" x14ac:dyDescent="0.2">
      <c r="A33" s="230"/>
      <c r="B33" s="390">
        <v>201</v>
      </c>
      <c r="C33" s="394">
        <v>24</v>
      </c>
      <c r="D33" s="674" t="s">
        <v>574</v>
      </c>
      <c r="E33" s="260" t="s">
        <v>60</v>
      </c>
      <c r="F33" s="573"/>
      <c r="G33" s="594"/>
      <c r="H33" s="573"/>
      <c r="I33" s="594"/>
      <c r="J33" s="573"/>
      <c r="K33" s="594"/>
      <c r="L33" s="573"/>
      <c r="M33" s="594"/>
      <c r="N33" s="573"/>
      <c r="O33" s="594"/>
      <c r="P33" s="573"/>
      <c r="Q33" s="594"/>
      <c r="R33" s="573"/>
      <c r="S33" s="594"/>
      <c r="T33" s="573"/>
      <c r="U33" s="594"/>
      <c r="V33" s="573"/>
      <c r="W33" s="594"/>
      <c r="X33" s="573"/>
      <c r="Y33" s="594"/>
      <c r="Z33" s="573"/>
      <c r="AA33" s="594"/>
      <c r="AB33" s="573"/>
      <c r="AC33" s="594"/>
      <c r="AD33" s="573"/>
      <c r="AE33" s="594"/>
      <c r="AF33" s="573"/>
      <c r="AG33" s="594"/>
      <c r="AH33" s="573"/>
      <c r="AI33" s="594"/>
      <c r="AJ33" s="573"/>
      <c r="AK33" s="594"/>
      <c r="AL33" s="573"/>
      <c r="AM33" s="594"/>
      <c r="AN33" s="573"/>
      <c r="AO33" s="594"/>
      <c r="AP33" s="573"/>
      <c r="AQ33" s="594"/>
      <c r="AR33" s="692"/>
      <c r="AS33" s="594"/>
      <c r="AT33" s="573"/>
      <c r="AU33" s="594"/>
      <c r="AV33" s="573"/>
      <c r="AW33" s="594"/>
      <c r="AX33" s="573"/>
      <c r="AY33" s="594"/>
      <c r="AZ33" s="573"/>
      <c r="BA33" s="594"/>
      <c r="BC33" s="233"/>
      <c r="BD33" s="647">
        <v>24</v>
      </c>
      <c r="BE33" s="315" t="s">
        <v>591</v>
      </c>
      <c r="BF33" s="81" t="s">
        <v>462</v>
      </c>
      <c r="BG33" s="79"/>
      <c r="BH33" s="270"/>
      <c r="BI33" s="79" t="str">
        <f t="shared" si="2"/>
        <v>N/A</v>
      </c>
      <c r="BJ33" s="266"/>
      <c r="BK33" s="79" t="str">
        <f>IF(OR(ISBLANK(H33),ISBLANK(J33)),"N/A",IF(ABS((J33-H33)/H33)&gt;0.25,"&gt; 25%","ok"))</f>
        <v>N/A</v>
      </c>
      <c r="BL33" s="79"/>
      <c r="BM33" s="79" t="str">
        <f>IF(OR(ISBLANK(J33),ISBLANK(L33)),"N/A",IF(ABS((L33-J33)/J33)&gt;0.25,"&gt; 25%","ok"))</f>
        <v>N/A</v>
      </c>
      <c r="BN33" s="79"/>
      <c r="BO33" s="79" t="str">
        <f>IF(OR(ISBLANK(L33),ISBLANK(N33)),"N/A",IF(ABS((N33-L33)/L33)&gt;0.25,"&gt; 25%","ok"))</f>
        <v>N/A</v>
      </c>
      <c r="BP33" s="79"/>
      <c r="BQ33" s="79" t="str">
        <f>IF(OR(ISBLANK(N33),ISBLANK(P33)),"N/A",IF(ABS((P33-N33)/N33)&gt;0.25,"&gt; 25%","ok"))</f>
        <v>N/A</v>
      </c>
      <c r="BR33" s="79"/>
      <c r="BS33" s="79" t="str">
        <f t="shared" si="3"/>
        <v>N/A</v>
      </c>
      <c r="BT33" s="79"/>
      <c r="BU33" s="79" t="str">
        <f t="shared" si="4"/>
        <v>N/A</v>
      </c>
      <c r="BV33" s="79"/>
      <c r="BW33" s="79" t="str">
        <f t="shared" si="5"/>
        <v>N/A</v>
      </c>
      <c r="BX33" s="79"/>
      <c r="BY33" s="79" t="str">
        <f t="shared" si="6"/>
        <v>N/A</v>
      </c>
      <c r="BZ33" s="79"/>
      <c r="CA33" s="79" t="str">
        <f t="shared" si="7"/>
        <v>N/A</v>
      </c>
      <c r="CB33" s="79"/>
      <c r="CC33" s="79" t="str">
        <f t="shared" si="8"/>
        <v>N/A</v>
      </c>
      <c r="CD33" s="79"/>
      <c r="CE33" s="79" t="str">
        <f t="shared" si="9"/>
        <v>N/A</v>
      </c>
      <c r="CF33" s="79"/>
      <c r="CG33" s="79" t="str">
        <f t="shared" si="10"/>
        <v>N/A</v>
      </c>
      <c r="CH33" s="79"/>
      <c r="CI33" s="79" t="str">
        <f t="shared" si="11"/>
        <v>N/A</v>
      </c>
      <c r="CJ33" s="79"/>
      <c r="CK33" s="79" t="str">
        <f t="shared" si="12"/>
        <v>N/A</v>
      </c>
      <c r="CL33" s="79"/>
      <c r="CM33" s="79" t="str">
        <f t="shared" si="13"/>
        <v>N/A</v>
      </c>
      <c r="CN33" s="79"/>
      <c r="CO33" s="79" t="str">
        <f t="shared" si="14"/>
        <v>N/A</v>
      </c>
      <c r="CP33" s="79"/>
      <c r="CQ33" s="79" t="str">
        <f t="shared" si="0"/>
        <v>N/A</v>
      </c>
      <c r="CR33" s="79"/>
      <c r="CS33" s="79" t="str">
        <f t="shared" si="15"/>
        <v>N/A</v>
      </c>
      <c r="CT33" s="79"/>
      <c r="CU33" s="79" t="str">
        <f t="shared" si="16"/>
        <v>N/A</v>
      </c>
      <c r="CV33" s="79"/>
      <c r="CW33" s="79" t="str">
        <f>IF(OR(ISBLANK(AT33),ISBLANK(AV33)),"N/A",IF(ABS((AV33-AT33)/AT33)&gt;0.25,"&gt; 25%","ok"))</f>
        <v>N/A</v>
      </c>
      <c r="CX33" s="79"/>
      <c r="CY33" s="79" t="str">
        <f>IF(OR(ISBLANK(AV33),ISBLANK(AX33)),"N/A",IF(ABS((AX33-AV33)/AV33)&gt;0.25,"&gt; 25%","ok"))</f>
        <v>N/A</v>
      </c>
      <c r="CZ33" s="79"/>
      <c r="DA33" s="79" t="str">
        <f t="shared" si="1"/>
        <v>N/A</v>
      </c>
      <c r="DB33" s="357"/>
      <c r="DC33" s="357"/>
      <c r="DD33" s="357"/>
      <c r="DE33" s="357"/>
      <c r="DF33" s="357"/>
      <c r="DG33" s="357"/>
      <c r="DH33" s="357"/>
      <c r="DI33" s="357"/>
      <c r="DJ33" s="357"/>
      <c r="DK33" s="357"/>
      <c r="DL33" s="357"/>
      <c r="DM33" s="357"/>
      <c r="DN33" s="357"/>
      <c r="DO33" s="357"/>
      <c r="DP33" s="357"/>
      <c r="DQ33" s="357"/>
      <c r="DR33" s="357"/>
      <c r="DS33" s="357"/>
      <c r="DT33" s="357"/>
      <c r="DU33" s="357"/>
      <c r="DV33" s="357"/>
      <c r="DW33" s="357"/>
      <c r="DX33" s="357"/>
      <c r="DY33" s="357"/>
      <c r="DZ33" s="357"/>
      <c r="EA33" s="357"/>
      <c r="EB33" s="357"/>
      <c r="EC33" s="357"/>
      <c r="ED33" s="357"/>
      <c r="EE33" s="357"/>
      <c r="EF33" s="357"/>
      <c r="EG33" s="357"/>
      <c r="EH33" s="357"/>
      <c r="EI33" s="357"/>
      <c r="EJ33" s="357"/>
      <c r="EK33" s="357"/>
      <c r="EL33" s="357"/>
      <c r="EM33" s="357"/>
      <c r="EN33" s="357"/>
    </row>
    <row r="34" spans="1:144" s="406" customFormat="1" ht="15" customHeight="1" x14ac:dyDescent="0.2">
      <c r="A34" s="230"/>
      <c r="B34" s="390">
        <v>282</v>
      </c>
      <c r="C34" s="394">
        <v>25</v>
      </c>
      <c r="D34" s="674" t="s">
        <v>529</v>
      </c>
      <c r="E34" s="260" t="s">
        <v>60</v>
      </c>
      <c r="F34" s="573"/>
      <c r="G34" s="594"/>
      <c r="H34" s="573"/>
      <c r="I34" s="594"/>
      <c r="J34" s="573"/>
      <c r="K34" s="594"/>
      <c r="L34" s="573"/>
      <c r="M34" s="594"/>
      <c r="N34" s="573"/>
      <c r="O34" s="594"/>
      <c r="P34" s="573"/>
      <c r="Q34" s="594"/>
      <c r="R34" s="573"/>
      <c r="S34" s="594"/>
      <c r="T34" s="573"/>
      <c r="U34" s="594"/>
      <c r="V34" s="573"/>
      <c r="W34" s="594"/>
      <c r="X34" s="573"/>
      <c r="Y34" s="594"/>
      <c r="Z34" s="573"/>
      <c r="AA34" s="594"/>
      <c r="AB34" s="573"/>
      <c r="AC34" s="594"/>
      <c r="AD34" s="573"/>
      <c r="AE34" s="594"/>
      <c r="AF34" s="573"/>
      <c r="AG34" s="594"/>
      <c r="AH34" s="573"/>
      <c r="AI34" s="594"/>
      <c r="AJ34" s="573"/>
      <c r="AK34" s="594"/>
      <c r="AL34" s="573"/>
      <c r="AM34" s="594"/>
      <c r="AN34" s="573"/>
      <c r="AO34" s="594"/>
      <c r="AP34" s="573"/>
      <c r="AQ34" s="594"/>
      <c r="AR34" s="692"/>
      <c r="AS34" s="594"/>
      <c r="AT34" s="573">
        <f>AT17</f>
        <v>346.05184052258983</v>
      </c>
      <c r="AU34" s="594" t="s">
        <v>21</v>
      </c>
      <c r="AV34" s="573">
        <f>AV17</f>
        <v>335.16219670146319</v>
      </c>
      <c r="AW34" s="594" t="s">
        <v>21</v>
      </c>
      <c r="AX34" s="573">
        <f>AX17</f>
        <v>336.71293020969665</v>
      </c>
      <c r="AY34" s="594" t="s">
        <v>21</v>
      </c>
      <c r="AZ34" s="573"/>
      <c r="BA34" s="594"/>
      <c r="BC34" s="233"/>
      <c r="BD34" s="647">
        <v>25</v>
      </c>
      <c r="BE34" s="315" t="s">
        <v>278</v>
      </c>
      <c r="BF34" s="81" t="s">
        <v>462</v>
      </c>
      <c r="BG34" s="79" t="s">
        <v>466</v>
      </c>
      <c r="BH34" s="270"/>
      <c r="BI34" s="79" t="str">
        <f t="shared" si="2"/>
        <v>N/A</v>
      </c>
      <c r="BJ34" s="266"/>
      <c r="BK34" s="79" t="str">
        <f t="shared" si="23"/>
        <v>N/A</v>
      </c>
      <c r="BL34" s="79"/>
      <c r="BM34" s="79" t="str">
        <f t="shared" si="24"/>
        <v>N/A</v>
      </c>
      <c r="BN34" s="79"/>
      <c r="BO34" s="79" t="str">
        <f t="shared" si="25"/>
        <v>N/A</v>
      </c>
      <c r="BP34" s="79"/>
      <c r="BQ34" s="79" t="str">
        <f t="shared" si="26"/>
        <v>N/A</v>
      </c>
      <c r="BR34" s="79"/>
      <c r="BS34" s="79" t="str">
        <f t="shared" si="3"/>
        <v>N/A</v>
      </c>
      <c r="BT34" s="79"/>
      <c r="BU34" s="79" t="str">
        <f t="shared" si="4"/>
        <v>N/A</v>
      </c>
      <c r="BV34" s="79"/>
      <c r="BW34" s="79" t="str">
        <f t="shared" si="5"/>
        <v>N/A</v>
      </c>
      <c r="BX34" s="79"/>
      <c r="BY34" s="79" t="str">
        <f t="shared" si="6"/>
        <v>N/A</v>
      </c>
      <c r="BZ34" s="79"/>
      <c r="CA34" s="79" t="str">
        <f t="shared" si="7"/>
        <v>N/A</v>
      </c>
      <c r="CB34" s="79"/>
      <c r="CC34" s="79" t="str">
        <f t="shared" si="8"/>
        <v>N/A</v>
      </c>
      <c r="CD34" s="79"/>
      <c r="CE34" s="79" t="str">
        <f t="shared" si="9"/>
        <v>N/A</v>
      </c>
      <c r="CF34" s="79"/>
      <c r="CG34" s="79" t="str">
        <f t="shared" si="10"/>
        <v>N/A</v>
      </c>
      <c r="CH34" s="79"/>
      <c r="CI34" s="79" t="str">
        <f t="shared" si="11"/>
        <v>N/A</v>
      </c>
      <c r="CJ34" s="79"/>
      <c r="CK34" s="79" t="str">
        <f t="shared" si="12"/>
        <v>N/A</v>
      </c>
      <c r="CL34" s="79"/>
      <c r="CM34" s="79" t="str">
        <f t="shared" si="13"/>
        <v>N/A</v>
      </c>
      <c r="CN34" s="79"/>
      <c r="CO34" s="79" t="str">
        <f t="shared" si="14"/>
        <v>N/A</v>
      </c>
      <c r="CP34" s="79"/>
      <c r="CQ34" s="79" t="str">
        <f t="shared" si="0"/>
        <v>N/A</v>
      </c>
      <c r="CR34" s="79"/>
      <c r="CS34" s="79" t="str">
        <f t="shared" si="15"/>
        <v>N/A</v>
      </c>
      <c r="CT34" s="79"/>
      <c r="CU34" s="79" t="str">
        <f t="shared" si="16"/>
        <v>N/A</v>
      </c>
      <c r="CV34" s="79"/>
      <c r="CW34" s="79" t="str">
        <f t="shared" si="27"/>
        <v>ok</v>
      </c>
      <c r="CX34" s="79"/>
      <c r="CY34" s="79" t="str">
        <f t="shared" si="28"/>
        <v>ok</v>
      </c>
      <c r="CZ34" s="79"/>
      <c r="DA34" s="79" t="str">
        <f t="shared" si="1"/>
        <v>N/A</v>
      </c>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row>
    <row r="35" spans="1:144" s="406" customFormat="1" ht="27" customHeight="1" x14ac:dyDescent="0.2">
      <c r="A35" s="230"/>
      <c r="B35" s="390">
        <v>202</v>
      </c>
      <c r="C35" s="394">
        <v>26</v>
      </c>
      <c r="D35" s="674" t="s">
        <v>575</v>
      </c>
      <c r="E35" s="260" t="s">
        <v>60</v>
      </c>
      <c r="F35" s="573"/>
      <c r="G35" s="594"/>
      <c r="H35" s="573"/>
      <c r="I35" s="594"/>
      <c r="J35" s="573"/>
      <c r="K35" s="594"/>
      <c r="L35" s="573"/>
      <c r="M35" s="594"/>
      <c r="N35" s="573"/>
      <c r="O35" s="594"/>
      <c r="P35" s="573"/>
      <c r="Q35" s="594"/>
      <c r="R35" s="573"/>
      <c r="S35" s="594"/>
      <c r="T35" s="573"/>
      <c r="U35" s="594"/>
      <c r="V35" s="573"/>
      <c r="W35" s="594"/>
      <c r="X35" s="573"/>
      <c r="Y35" s="594"/>
      <c r="Z35" s="573"/>
      <c r="AA35" s="594"/>
      <c r="AB35" s="573"/>
      <c r="AC35" s="594"/>
      <c r="AD35" s="573"/>
      <c r="AE35" s="594"/>
      <c r="AF35" s="573"/>
      <c r="AG35" s="594"/>
      <c r="AH35" s="573"/>
      <c r="AI35" s="594"/>
      <c r="AJ35" s="573"/>
      <c r="AK35" s="594"/>
      <c r="AL35" s="573"/>
      <c r="AM35" s="594"/>
      <c r="AN35" s="573"/>
      <c r="AO35" s="594"/>
      <c r="AP35" s="573"/>
      <c r="AQ35" s="594"/>
      <c r="AR35" s="692"/>
      <c r="AS35" s="594"/>
      <c r="AT35" s="573"/>
      <c r="AU35" s="594"/>
      <c r="AV35" s="573"/>
      <c r="AW35" s="594"/>
      <c r="AX35" s="573"/>
      <c r="AY35" s="594"/>
      <c r="AZ35" s="573"/>
      <c r="BA35" s="594"/>
      <c r="BC35" s="233"/>
      <c r="BD35" s="647">
        <v>26</v>
      </c>
      <c r="BE35" s="315" t="s">
        <v>592</v>
      </c>
      <c r="BF35" s="81" t="s">
        <v>462</v>
      </c>
      <c r="BG35" s="79"/>
      <c r="BH35" s="270"/>
      <c r="BI35" s="79" t="str">
        <f t="shared" si="2"/>
        <v>N/A</v>
      </c>
      <c r="BJ35" s="266"/>
      <c r="BK35" s="79" t="str">
        <f>IF(OR(ISBLANK(H35),ISBLANK(J35)),"N/A",IF(ABS((J35-H35)/H35)&gt;0.25,"&gt; 25%","ok"))</f>
        <v>N/A</v>
      </c>
      <c r="BL35" s="79"/>
      <c r="BM35" s="79" t="str">
        <f>IF(OR(ISBLANK(J35),ISBLANK(L35)),"N/A",IF(ABS((L35-J35)/J35)&gt;0.25,"&gt; 25%","ok"))</f>
        <v>N/A</v>
      </c>
      <c r="BN35" s="79"/>
      <c r="BO35" s="79" t="str">
        <f>IF(OR(ISBLANK(L35),ISBLANK(N35)),"N/A",IF(ABS((N35-L35)/L35)&gt;0.25,"&gt; 25%","ok"))</f>
        <v>N/A</v>
      </c>
      <c r="BP35" s="79"/>
      <c r="BQ35" s="79" t="str">
        <f>IF(OR(ISBLANK(N35),ISBLANK(P35)),"N/A",IF(ABS((P35-N35)/N35)&gt;0.25,"&gt; 25%","ok"))</f>
        <v>N/A</v>
      </c>
      <c r="BR35" s="79"/>
      <c r="BS35" s="79" t="str">
        <f t="shared" si="3"/>
        <v>N/A</v>
      </c>
      <c r="BT35" s="79"/>
      <c r="BU35" s="79" t="str">
        <f t="shared" si="4"/>
        <v>N/A</v>
      </c>
      <c r="BV35" s="79"/>
      <c r="BW35" s="79" t="str">
        <f t="shared" si="5"/>
        <v>N/A</v>
      </c>
      <c r="BX35" s="79"/>
      <c r="BY35" s="79" t="str">
        <f t="shared" si="6"/>
        <v>N/A</v>
      </c>
      <c r="BZ35" s="79"/>
      <c r="CA35" s="79" t="str">
        <f t="shared" si="7"/>
        <v>N/A</v>
      </c>
      <c r="CB35" s="79"/>
      <c r="CC35" s="79" t="str">
        <f t="shared" si="8"/>
        <v>N/A</v>
      </c>
      <c r="CD35" s="79"/>
      <c r="CE35" s="79" t="str">
        <f t="shared" si="9"/>
        <v>N/A</v>
      </c>
      <c r="CF35" s="79"/>
      <c r="CG35" s="79" t="str">
        <f t="shared" si="10"/>
        <v>N/A</v>
      </c>
      <c r="CH35" s="79"/>
      <c r="CI35" s="79" t="str">
        <f t="shared" si="11"/>
        <v>N/A</v>
      </c>
      <c r="CJ35" s="79"/>
      <c r="CK35" s="79" t="str">
        <f t="shared" si="12"/>
        <v>N/A</v>
      </c>
      <c r="CL35" s="79"/>
      <c r="CM35" s="79" t="str">
        <f t="shared" si="13"/>
        <v>N/A</v>
      </c>
      <c r="CN35" s="79"/>
      <c r="CO35" s="79" t="str">
        <f t="shared" si="14"/>
        <v>N/A</v>
      </c>
      <c r="CP35" s="79"/>
      <c r="CQ35" s="79" t="str">
        <f t="shared" si="0"/>
        <v>N/A</v>
      </c>
      <c r="CR35" s="79"/>
      <c r="CS35" s="79" t="str">
        <f t="shared" si="15"/>
        <v>N/A</v>
      </c>
      <c r="CT35" s="79"/>
      <c r="CU35" s="79" t="str">
        <f t="shared" si="16"/>
        <v>N/A</v>
      </c>
      <c r="CV35" s="79"/>
      <c r="CW35" s="79" t="str">
        <f>IF(OR(ISBLANK(AT35),ISBLANK(AV35)),"N/A",IF(ABS((AV35-AT35)/AT35)&gt;0.25,"&gt; 25%","ok"))</f>
        <v>N/A</v>
      </c>
      <c r="CX35" s="79"/>
      <c r="CY35" s="79" t="str">
        <f>IF(OR(ISBLANK(AV35),ISBLANK(AX35)),"N/A",IF(ABS((AX35-AV35)/AV35)&gt;0.25,"&gt; 25%","ok"))</f>
        <v>N/A</v>
      </c>
      <c r="CZ35" s="79"/>
      <c r="DA35" s="79" t="str">
        <f t="shared" si="1"/>
        <v>N/A</v>
      </c>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57"/>
      <c r="EA35" s="357"/>
      <c r="EB35" s="357"/>
      <c r="EC35" s="357"/>
      <c r="ED35" s="357"/>
      <c r="EE35" s="357"/>
      <c r="EF35" s="357"/>
      <c r="EG35" s="357"/>
      <c r="EH35" s="357"/>
      <c r="EI35" s="357"/>
      <c r="EJ35" s="357"/>
      <c r="EK35" s="357"/>
      <c r="EL35" s="357"/>
      <c r="EM35" s="357"/>
      <c r="EN35" s="357"/>
    </row>
    <row r="36" spans="1:144" s="406" customFormat="1" ht="15" customHeight="1" x14ac:dyDescent="0.2">
      <c r="A36" s="230"/>
      <c r="B36" s="390">
        <v>283</v>
      </c>
      <c r="C36" s="394">
        <v>27</v>
      </c>
      <c r="D36" s="683" t="s">
        <v>680</v>
      </c>
      <c r="E36" s="260" t="s">
        <v>60</v>
      </c>
      <c r="F36" s="609"/>
      <c r="G36" s="594"/>
      <c r="H36" s="609"/>
      <c r="I36" s="594"/>
      <c r="J36" s="609"/>
      <c r="K36" s="594"/>
      <c r="L36" s="609"/>
      <c r="M36" s="594"/>
      <c r="N36" s="609"/>
      <c r="O36" s="594"/>
      <c r="P36" s="609"/>
      <c r="Q36" s="594"/>
      <c r="R36" s="609"/>
      <c r="S36" s="594"/>
      <c r="T36" s="609"/>
      <c r="U36" s="594"/>
      <c r="V36" s="609"/>
      <c r="W36" s="594"/>
      <c r="X36" s="609"/>
      <c r="Y36" s="594"/>
      <c r="Z36" s="609"/>
      <c r="AA36" s="594"/>
      <c r="AB36" s="609"/>
      <c r="AC36" s="594"/>
      <c r="AD36" s="609"/>
      <c r="AE36" s="594"/>
      <c r="AF36" s="609"/>
      <c r="AG36" s="594"/>
      <c r="AH36" s="609"/>
      <c r="AI36" s="594"/>
      <c r="AJ36" s="609"/>
      <c r="AK36" s="594"/>
      <c r="AL36" s="609"/>
      <c r="AM36" s="594"/>
      <c r="AN36" s="609"/>
      <c r="AO36" s="594"/>
      <c r="AP36" s="609"/>
      <c r="AQ36" s="594"/>
      <c r="AR36" s="693"/>
      <c r="AS36" s="594"/>
      <c r="AT36" s="609">
        <f>AT19</f>
        <v>57428.111638087365</v>
      </c>
      <c r="AU36" s="594" t="s">
        <v>21</v>
      </c>
      <c r="AV36" s="609">
        <f>AV19</f>
        <v>56904.424795822517</v>
      </c>
      <c r="AW36" s="594" t="s">
        <v>21</v>
      </c>
      <c r="AX36" s="609">
        <f>AX19</f>
        <v>65313.401381412004</v>
      </c>
      <c r="AY36" s="594" t="s">
        <v>21</v>
      </c>
      <c r="AZ36" s="609"/>
      <c r="BA36" s="594"/>
      <c r="BC36" s="233"/>
      <c r="BD36" s="647">
        <v>27</v>
      </c>
      <c r="BE36" s="648" t="s">
        <v>593</v>
      </c>
      <c r="BF36" s="81" t="s">
        <v>462</v>
      </c>
      <c r="BG36" s="79" t="s">
        <v>466</v>
      </c>
      <c r="BH36" s="270"/>
      <c r="BI36" s="79" t="str">
        <f t="shared" si="2"/>
        <v>N/A</v>
      </c>
      <c r="BJ36" s="266"/>
      <c r="BK36" s="79" t="str">
        <f t="shared" si="23"/>
        <v>N/A</v>
      </c>
      <c r="BL36" s="79"/>
      <c r="BM36" s="79" t="str">
        <f t="shared" si="24"/>
        <v>N/A</v>
      </c>
      <c r="BN36" s="79"/>
      <c r="BO36" s="79" t="str">
        <f t="shared" si="25"/>
        <v>N/A</v>
      </c>
      <c r="BP36" s="79"/>
      <c r="BQ36" s="79" t="str">
        <f t="shared" si="26"/>
        <v>N/A</v>
      </c>
      <c r="BR36" s="79"/>
      <c r="BS36" s="79" t="str">
        <f t="shared" si="3"/>
        <v>N/A</v>
      </c>
      <c r="BT36" s="79"/>
      <c r="BU36" s="79" t="str">
        <f t="shared" si="4"/>
        <v>N/A</v>
      </c>
      <c r="BV36" s="79"/>
      <c r="BW36" s="79" t="str">
        <f t="shared" si="5"/>
        <v>N/A</v>
      </c>
      <c r="BX36" s="79"/>
      <c r="BY36" s="79" t="str">
        <f t="shared" si="6"/>
        <v>N/A</v>
      </c>
      <c r="BZ36" s="79"/>
      <c r="CA36" s="79" t="str">
        <f t="shared" si="7"/>
        <v>N/A</v>
      </c>
      <c r="CB36" s="79"/>
      <c r="CC36" s="79" t="str">
        <f t="shared" si="8"/>
        <v>N/A</v>
      </c>
      <c r="CD36" s="79"/>
      <c r="CE36" s="79" t="str">
        <f t="shared" si="9"/>
        <v>N/A</v>
      </c>
      <c r="CF36" s="79"/>
      <c r="CG36" s="79" t="str">
        <f t="shared" si="10"/>
        <v>N/A</v>
      </c>
      <c r="CH36" s="79"/>
      <c r="CI36" s="79" t="str">
        <f t="shared" si="11"/>
        <v>N/A</v>
      </c>
      <c r="CJ36" s="79"/>
      <c r="CK36" s="79" t="str">
        <f t="shared" si="12"/>
        <v>N/A</v>
      </c>
      <c r="CL36" s="79"/>
      <c r="CM36" s="79" t="str">
        <f t="shared" si="13"/>
        <v>N/A</v>
      </c>
      <c r="CN36" s="79"/>
      <c r="CO36" s="79" t="str">
        <f t="shared" si="14"/>
        <v>N/A</v>
      </c>
      <c r="CP36" s="79"/>
      <c r="CQ36" s="79" t="str">
        <f t="shared" si="0"/>
        <v>N/A</v>
      </c>
      <c r="CR36" s="79"/>
      <c r="CS36" s="79" t="str">
        <f t="shared" si="15"/>
        <v>N/A</v>
      </c>
      <c r="CT36" s="79"/>
      <c r="CU36" s="79" t="str">
        <f t="shared" si="16"/>
        <v>N/A</v>
      </c>
      <c r="CV36" s="79"/>
      <c r="CW36" s="79" t="str">
        <f t="shared" si="27"/>
        <v>ok</v>
      </c>
      <c r="CX36" s="79"/>
      <c r="CY36" s="79" t="str">
        <f t="shared" si="28"/>
        <v>ok</v>
      </c>
      <c r="CZ36" s="79"/>
      <c r="DA36" s="79" t="str">
        <f t="shared" si="1"/>
        <v>N/A</v>
      </c>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row>
    <row r="37" spans="1:144" s="406" customFormat="1" ht="15" customHeight="1" x14ac:dyDescent="0.2">
      <c r="A37" s="230"/>
      <c r="B37" s="390">
        <v>203</v>
      </c>
      <c r="C37" s="508">
        <v>28</v>
      </c>
      <c r="D37" s="639" t="s">
        <v>576</v>
      </c>
      <c r="E37" s="260" t="s">
        <v>60</v>
      </c>
      <c r="F37" s="638"/>
      <c r="G37" s="595"/>
      <c r="H37" s="638"/>
      <c r="I37" s="595"/>
      <c r="J37" s="638"/>
      <c r="K37" s="595"/>
      <c r="L37" s="638"/>
      <c r="M37" s="595"/>
      <c r="N37" s="638"/>
      <c r="O37" s="595"/>
      <c r="P37" s="638"/>
      <c r="Q37" s="595"/>
      <c r="R37" s="638"/>
      <c r="S37" s="595"/>
      <c r="T37" s="638"/>
      <c r="U37" s="595"/>
      <c r="V37" s="638"/>
      <c r="W37" s="595"/>
      <c r="X37" s="638"/>
      <c r="Y37" s="595"/>
      <c r="Z37" s="638"/>
      <c r="AA37" s="595"/>
      <c r="AB37" s="638"/>
      <c r="AC37" s="595"/>
      <c r="AD37" s="638"/>
      <c r="AE37" s="595"/>
      <c r="AF37" s="638"/>
      <c r="AG37" s="595"/>
      <c r="AH37" s="638"/>
      <c r="AI37" s="595"/>
      <c r="AJ37" s="638"/>
      <c r="AK37" s="595"/>
      <c r="AL37" s="638"/>
      <c r="AM37" s="595"/>
      <c r="AN37" s="638"/>
      <c r="AO37" s="595"/>
      <c r="AP37" s="638"/>
      <c r="AQ37" s="595"/>
      <c r="AR37" s="694"/>
      <c r="AS37" s="595"/>
      <c r="AT37" s="638"/>
      <c r="AU37" s="595"/>
      <c r="AV37" s="638"/>
      <c r="AW37" s="595"/>
      <c r="AX37" s="638"/>
      <c r="AY37" s="595"/>
      <c r="AZ37" s="638"/>
      <c r="BA37" s="595"/>
      <c r="BC37" s="233"/>
      <c r="BD37" s="649">
        <v>28</v>
      </c>
      <c r="BE37" s="315" t="s">
        <v>587</v>
      </c>
      <c r="BF37" s="81" t="s">
        <v>462</v>
      </c>
      <c r="BG37" s="79"/>
      <c r="BH37" s="270"/>
      <c r="BI37" s="79" t="str">
        <f t="shared" si="2"/>
        <v>N/A</v>
      </c>
      <c r="BJ37" s="266"/>
      <c r="BK37" s="79" t="str">
        <f>IF(OR(ISBLANK(H37),ISBLANK(J37)),"N/A",IF(ABS((J37-H37)/H37)&gt;0.25,"&gt; 25%","ok"))</f>
        <v>N/A</v>
      </c>
      <c r="BL37" s="79"/>
      <c r="BM37" s="79" t="str">
        <f>IF(OR(ISBLANK(J37),ISBLANK(L37)),"N/A",IF(ABS((L37-J37)/J37)&gt;0.25,"&gt; 25%","ok"))</f>
        <v>N/A</v>
      </c>
      <c r="BN37" s="79"/>
      <c r="BO37" s="79" t="str">
        <f>IF(OR(ISBLANK(L37),ISBLANK(N37)),"N/A",IF(ABS((N37-L37)/L37)&gt;0.25,"&gt; 25%","ok"))</f>
        <v>N/A</v>
      </c>
      <c r="BP37" s="79"/>
      <c r="BQ37" s="79" t="str">
        <f>IF(OR(ISBLANK(N37),ISBLANK(P37)),"N/A",IF(ABS((P37-N37)/N37)&gt;0.25,"&gt; 25%","ok"))</f>
        <v>N/A</v>
      </c>
      <c r="BR37" s="79"/>
      <c r="BS37" s="79" t="str">
        <f t="shared" si="3"/>
        <v>N/A</v>
      </c>
      <c r="BT37" s="79"/>
      <c r="BU37" s="79" t="str">
        <f t="shared" si="4"/>
        <v>N/A</v>
      </c>
      <c r="BV37" s="79"/>
      <c r="BW37" s="79" t="str">
        <f t="shared" si="5"/>
        <v>N/A</v>
      </c>
      <c r="BX37" s="79"/>
      <c r="BY37" s="79" t="str">
        <f t="shared" si="6"/>
        <v>N/A</v>
      </c>
      <c r="BZ37" s="79"/>
      <c r="CA37" s="79" t="str">
        <f t="shared" si="7"/>
        <v>N/A</v>
      </c>
      <c r="CB37" s="79"/>
      <c r="CC37" s="79" t="str">
        <f t="shared" si="8"/>
        <v>N/A</v>
      </c>
      <c r="CD37" s="79"/>
      <c r="CE37" s="79" t="str">
        <f t="shared" si="9"/>
        <v>N/A</v>
      </c>
      <c r="CF37" s="79"/>
      <c r="CG37" s="79" t="str">
        <f t="shared" si="10"/>
        <v>N/A</v>
      </c>
      <c r="CH37" s="79"/>
      <c r="CI37" s="79" t="str">
        <f t="shared" si="11"/>
        <v>N/A</v>
      </c>
      <c r="CJ37" s="79"/>
      <c r="CK37" s="79" t="str">
        <f t="shared" si="12"/>
        <v>N/A</v>
      </c>
      <c r="CL37" s="79"/>
      <c r="CM37" s="79" t="str">
        <f t="shared" si="13"/>
        <v>N/A</v>
      </c>
      <c r="CN37" s="79"/>
      <c r="CO37" s="79" t="str">
        <f t="shared" si="14"/>
        <v>N/A</v>
      </c>
      <c r="CP37" s="79"/>
      <c r="CQ37" s="79" t="str">
        <f t="shared" si="0"/>
        <v>N/A</v>
      </c>
      <c r="CR37" s="79"/>
      <c r="CS37" s="79" t="str">
        <f t="shared" si="15"/>
        <v>N/A</v>
      </c>
      <c r="CT37" s="79"/>
      <c r="CU37" s="79" t="str">
        <f t="shared" si="16"/>
        <v>N/A</v>
      </c>
      <c r="CV37" s="79"/>
      <c r="CW37" s="79" t="str">
        <f>IF(OR(ISBLANK(AT37),ISBLANK(AV37)),"N/A",IF(ABS((AV37-AT37)/AT37)&gt;0.25,"&gt; 25%","ok"))</f>
        <v>N/A</v>
      </c>
      <c r="CX37" s="79"/>
      <c r="CY37" s="79" t="str">
        <f>IF(OR(ISBLANK(AV37),ISBLANK(AX37)),"N/A",IF(ABS((AX37-AV37)/AV37)&gt;0.25,"&gt; 25%","ok"))</f>
        <v>N/A</v>
      </c>
      <c r="CZ37" s="79"/>
      <c r="DA37" s="79" t="str">
        <f t="shared" si="1"/>
        <v>N/A</v>
      </c>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c r="ED37" s="357"/>
      <c r="EE37" s="357"/>
      <c r="EF37" s="357"/>
      <c r="EG37" s="357"/>
      <c r="EH37" s="357"/>
      <c r="EI37" s="357"/>
      <c r="EJ37" s="357"/>
      <c r="EK37" s="357"/>
      <c r="EL37" s="357"/>
      <c r="EM37" s="357"/>
      <c r="EN37" s="357"/>
    </row>
    <row r="38" spans="1:144" s="406" customFormat="1" ht="15" customHeight="1" x14ac:dyDescent="0.2">
      <c r="A38" s="230"/>
      <c r="B38" s="390">
        <v>204</v>
      </c>
      <c r="C38" s="287">
        <v>29</v>
      </c>
      <c r="D38" s="684" t="s">
        <v>530</v>
      </c>
      <c r="E38" s="287" t="s">
        <v>60</v>
      </c>
      <c r="F38" s="610"/>
      <c r="G38" s="596"/>
      <c r="H38" s="610"/>
      <c r="I38" s="596"/>
      <c r="J38" s="610"/>
      <c r="K38" s="596"/>
      <c r="L38" s="610"/>
      <c r="M38" s="596"/>
      <c r="N38" s="610"/>
      <c r="O38" s="596"/>
      <c r="P38" s="610"/>
      <c r="Q38" s="596"/>
      <c r="R38" s="610"/>
      <c r="S38" s="596"/>
      <c r="T38" s="610"/>
      <c r="U38" s="596"/>
      <c r="V38" s="610"/>
      <c r="W38" s="596"/>
      <c r="X38" s="610"/>
      <c r="Y38" s="596"/>
      <c r="Z38" s="610"/>
      <c r="AA38" s="596"/>
      <c r="AB38" s="610"/>
      <c r="AC38" s="596"/>
      <c r="AD38" s="610"/>
      <c r="AE38" s="596"/>
      <c r="AF38" s="610"/>
      <c r="AG38" s="596"/>
      <c r="AH38" s="610"/>
      <c r="AI38" s="596"/>
      <c r="AJ38" s="610"/>
      <c r="AK38" s="596"/>
      <c r="AL38" s="610"/>
      <c r="AM38" s="596"/>
      <c r="AN38" s="610"/>
      <c r="AO38" s="596"/>
      <c r="AP38" s="610"/>
      <c r="AQ38" s="596"/>
      <c r="AR38" s="695"/>
      <c r="AS38" s="596"/>
      <c r="AT38" s="610"/>
      <c r="AU38" s="596"/>
      <c r="AV38" s="610"/>
      <c r="AW38" s="596"/>
      <c r="AX38" s="610"/>
      <c r="AY38" s="596"/>
      <c r="AZ38" s="610"/>
      <c r="BA38" s="596"/>
      <c r="BC38" s="233"/>
      <c r="BD38" s="650">
        <v>29</v>
      </c>
      <c r="BE38" s="269" t="s">
        <v>279</v>
      </c>
      <c r="BF38" s="81" t="s">
        <v>462</v>
      </c>
      <c r="BG38" s="79" t="s">
        <v>466</v>
      </c>
      <c r="BH38" s="270"/>
      <c r="BI38" s="79" t="str">
        <f t="shared" si="2"/>
        <v>N/A</v>
      </c>
      <c r="BJ38" s="266"/>
      <c r="BK38" s="79" t="str">
        <f t="shared" si="23"/>
        <v>N/A</v>
      </c>
      <c r="BL38" s="79"/>
      <c r="BM38" s="79" t="str">
        <f t="shared" si="24"/>
        <v>N/A</v>
      </c>
      <c r="BN38" s="79"/>
      <c r="BO38" s="79" t="str">
        <f t="shared" si="25"/>
        <v>N/A</v>
      </c>
      <c r="BP38" s="79"/>
      <c r="BQ38" s="79" t="str">
        <f t="shared" si="26"/>
        <v>N/A</v>
      </c>
      <c r="BR38" s="79"/>
      <c r="BS38" s="79" t="str">
        <f t="shared" si="3"/>
        <v>N/A</v>
      </c>
      <c r="BT38" s="79"/>
      <c r="BU38" s="79" t="str">
        <f t="shared" si="4"/>
        <v>N/A</v>
      </c>
      <c r="BV38" s="79"/>
      <c r="BW38" s="79" t="str">
        <f t="shared" si="5"/>
        <v>N/A</v>
      </c>
      <c r="BX38" s="79"/>
      <c r="BY38" s="79" t="str">
        <f t="shared" si="6"/>
        <v>N/A</v>
      </c>
      <c r="BZ38" s="79"/>
      <c r="CA38" s="79" t="str">
        <f t="shared" si="7"/>
        <v>N/A</v>
      </c>
      <c r="CB38" s="79"/>
      <c r="CC38" s="79" t="str">
        <f t="shared" si="8"/>
        <v>N/A</v>
      </c>
      <c r="CD38" s="79"/>
      <c r="CE38" s="79" t="str">
        <f t="shared" si="9"/>
        <v>N/A</v>
      </c>
      <c r="CF38" s="79"/>
      <c r="CG38" s="79" t="str">
        <f t="shared" si="10"/>
        <v>N/A</v>
      </c>
      <c r="CH38" s="79"/>
      <c r="CI38" s="79" t="str">
        <f t="shared" si="11"/>
        <v>N/A</v>
      </c>
      <c r="CJ38" s="79"/>
      <c r="CK38" s="79" t="str">
        <f t="shared" si="12"/>
        <v>N/A</v>
      </c>
      <c r="CL38" s="79"/>
      <c r="CM38" s="79" t="str">
        <f t="shared" si="13"/>
        <v>N/A</v>
      </c>
      <c r="CN38" s="79"/>
      <c r="CO38" s="79" t="str">
        <f t="shared" si="14"/>
        <v>N/A</v>
      </c>
      <c r="CP38" s="79"/>
      <c r="CQ38" s="79" t="str">
        <f t="shared" si="0"/>
        <v>N/A</v>
      </c>
      <c r="CR38" s="79"/>
      <c r="CS38" s="79" t="str">
        <f t="shared" si="15"/>
        <v>N/A</v>
      </c>
      <c r="CT38" s="79"/>
      <c r="CU38" s="79" t="str">
        <f t="shared" si="16"/>
        <v>N/A</v>
      </c>
      <c r="CV38" s="79"/>
      <c r="CW38" s="79" t="str">
        <f t="shared" si="27"/>
        <v>N/A</v>
      </c>
      <c r="CX38" s="79"/>
      <c r="CY38" s="79" t="str">
        <f t="shared" si="28"/>
        <v>N/A</v>
      </c>
      <c r="CZ38" s="79"/>
      <c r="DA38" s="79" t="str">
        <f t="shared" si="1"/>
        <v>N/A</v>
      </c>
      <c r="DB38" s="357"/>
      <c r="DC38" s="357"/>
      <c r="DD38" s="357"/>
      <c r="DE38" s="357"/>
      <c r="DF38" s="357"/>
      <c r="DG38" s="357"/>
      <c r="DH38" s="357"/>
      <c r="DI38" s="357"/>
      <c r="DJ38" s="357"/>
      <c r="DK38" s="357"/>
      <c r="DL38" s="357"/>
      <c r="DM38" s="357"/>
      <c r="DN38" s="357"/>
      <c r="DO38" s="357"/>
      <c r="DP38" s="357"/>
      <c r="DQ38" s="357"/>
      <c r="DR38" s="357"/>
      <c r="DS38" s="357"/>
      <c r="DT38" s="357"/>
      <c r="DU38" s="357"/>
      <c r="DV38" s="357"/>
      <c r="DW38" s="357"/>
      <c r="DX38" s="357"/>
      <c r="DY38" s="357"/>
      <c r="DZ38" s="357"/>
      <c r="EA38" s="357"/>
      <c r="EB38" s="357"/>
      <c r="EC38" s="357"/>
      <c r="ED38" s="357"/>
      <c r="EE38" s="357"/>
      <c r="EF38" s="357"/>
      <c r="EG38" s="357"/>
      <c r="EH38" s="357"/>
      <c r="EI38" s="357"/>
      <c r="EJ38" s="357"/>
      <c r="EK38" s="357"/>
      <c r="EL38" s="357"/>
      <c r="EM38" s="357"/>
      <c r="EN38" s="357"/>
    </row>
    <row r="39" spans="1:144" ht="13.9" customHeight="1" x14ac:dyDescent="0.2">
      <c r="C39" s="380" t="s">
        <v>490</v>
      </c>
      <c r="D39" s="293"/>
      <c r="E39" s="416"/>
      <c r="F39" s="417"/>
      <c r="BD39" s="388" t="s">
        <v>569</v>
      </c>
    </row>
    <row r="40" spans="1:144" ht="13.9" customHeight="1" x14ac:dyDescent="0.2">
      <c r="C40" s="300" t="s">
        <v>484</v>
      </c>
      <c r="D40" s="771" t="s">
        <v>126</v>
      </c>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1"/>
      <c r="AV40" s="771"/>
      <c r="AW40" s="771"/>
      <c r="AX40" s="771"/>
      <c r="AY40" s="771"/>
      <c r="AZ40" s="771"/>
      <c r="BA40" s="771"/>
      <c r="BB40" s="771"/>
      <c r="BD40" s="252" t="s">
        <v>201</v>
      </c>
      <c r="BE40" s="252" t="s">
        <v>202</v>
      </c>
      <c r="BF40" s="252" t="s">
        <v>203</v>
      </c>
      <c r="BG40" s="600">
        <v>1990</v>
      </c>
      <c r="BH40" s="601"/>
      <c r="BI40" s="600">
        <v>1995</v>
      </c>
      <c r="BJ40" s="601"/>
      <c r="BK40" s="600">
        <v>1996</v>
      </c>
      <c r="BL40" s="601"/>
      <c r="BM40" s="600">
        <v>1997</v>
      </c>
      <c r="BN40" s="601"/>
      <c r="BO40" s="600">
        <v>1998</v>
      </c>
      <c r="BP40" s="601"/>
      <c r="BQ40" s="600">
        <v>1999</v>
      </c>
      <c r="BR40" s="601"/>
      <c r="BS40" s="600">
        <v>2000</v>
      </c>
      <c r="BT40" s="601"/>
      <c r="BU40" s="600">
        <v>2001</v>
      </c>
      <c r="BV40" s="601"/>
      <c r="BW40" s="600">
        <v>2002</v>
      </c>
      <c r="BX40" s="601"/>
      <c r="BY40" s="600">
        <v>2003</v>
      </c>
      <c r="BZ40" s="601"/>
      <c r="CA40" s="600">
        <v>2004</v>
      </c>
      <c r="CB40" s="601"/>
      <c r="CC40" s="600">
        <v>2005</v>
      </c>
      <c r="CD40" s="601"/>
      <c r="CE40" s="600">
        <v>2006</v>
      </c>
      <c r="CF40" s="601"/>
      <c r="CG40" s="600">
        <v>2007</v>
      </c>
      <c r="CH40" s="601"/>
      <c r="CI40" s="600">
        <v>2008</v>
      </c>
      <c r="CJ40" s="601"/>
      <c r="CK40" s="600">
        <v>2009</v>
      </c>
      <c r="CL40" s="601"/>
      <c r="CM40" s="600">
        <v>2010</v>
      </c>
      <c r="CN40" s="601"/>
      <c r="CO40" s="600">
        <v>2011</v>
      </c>
      <c r="CP40" s="604"/>
      <c r="CQ40" s="600">
        <v>2012</v>
      </c>
      <c r="CR40" s="601"/>
      <c r="CS40" s="600">
        <v>2013</v>
      </c>
      <c r="CT40" s="601"/>
      <c r="CU40" s="600">
        <v>2014</v>
      </c>
      <c r="CV40" s="604"/>
      <c r="CW40" s="600">
        <v>2015</v>
      </c>
      <c r="CX40" s="601"/>
      <c r="CY40" s="600">
        <v>2016</v>
      </c>
      <c r="CZ40" s="604"/>
      <c r="DA40" s="600">
        <v>2017</v>
      </c>
    </row>
    <row r="41" spans="1:144" ht="13.9" customHeight="1" x14ac:dyDescent="0.2">
      <c r="C41" s="300" t="s">
        <v>484</v>
      </c>
      <c r="D41" s="771" t="s">
        <v>127</v>
      </c>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1"/>
      <c r="BA41" s="771"/>
      <c r="BB41" s="771"/>
      <c r="BD41" s="402"/>
      <c r="BE41" s="418" t="s">
        <v>419</v>
      </c>
      <c r="BF41" s="402"/>
      <c r="BG41" s="82"/>
      <c r="BH41" s="270"/>
      <c r="BI41" s="82"/>
      <c r="BJ41" s="270"/>
      <c r="BK41" s="82"/>
      <c r="BL41" s="270"/>
      <c r="BM41" s="82"/>
      <c r="BN41" s="270"/>
      <c r="BO41" s="82"/>
      <c r="BP41" s="270"/>
      <c r="BQ41" s="82"/>
      <c r="BR41" s="270"/>
      <c r="BS41" s="82"/>
      <c r="BT41" s="270"/>
      <c r="BU41" s="82"/>
      <c r="BV41" s="270"/>
      <c r="BW41" s="81"/>
      <c r="BX41" s="270"/>
      <c r="BY41" s="81"/>
      <c r="BZ41" s="270"/>
      <c r="CA41" s="81"/>
      <c r="CB41" s="270"/>
      <c r="CC41" s="81"/>
      <c r="CD41" s="270"/>
      <c r="CE41" s="81"/>
      <c r="CF41" s="270"/>
      <c r="CG41" s="81"/>
      <c r="CH41" s="270"/>
      <c r="CI41" s="82"/>
      <c r="CJ41" s="270"/>
      <c r="CK41" s="81"/>
      <c r="CL41" s="270"/>
      <c r="CM41" s="81"/>
      <c r="CN41" s="270"/>
      <c r="CO41" s="81"/>
      <c r="CP41" s="270"/>
      <c r="CQ41" s="81"/>
      <c r="CR41" s="270"/>
      <c r="CS41" s="81"/>
      <c r="CT41" s="270"/>
      <c r="CU41" s="81"/>
      <c r="CV41" s="270"/>
      <c r="CW41" s="81"/>
      <c r="CX41" s="270"/>
      <c r="CY41" s="81"/>
      <c r="CZ41" s="270"/>
      <c r="DA41" s="81"/>
    </row>
    <row r="42" spans="1:144" s="211" customFormat="1" ht="15" customHeight="1" x14ac:dyDescent="0.2">
      <c r="A42" s="302"/>
      <c r="B42" s="302"/>
      <c r="C42" s="300" t="s">
        <v>484</v>
      </c>
      <c r="D42" s="775" t="s">
        <v>524</v>
      </c>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419"/>
      <c r="BD42" s="420">
        <v>3</v>
      </c>
      <c r="BE42" s="564" t="s">
        <v>477</v>
      </c>
      <c r="BF42" s="98" t="s">
        <v>462</v>
      </c>
      <c r="BG42" s="79">
        <f>F10</f>
        <v>0</v>
      </c>
      <c r="BH42" s="79"/>
      <c r="BI42" s="79">
        <f t="shared" ref="BI42:DA42" si="29">H10</f>
        <v>0</v>
      </c>
      <c r="BJ42" s="79"/>
      <c r="BK42" s="79">
        <f t="shared" si="29"/>
        <v>0</v>
      </c>
      <c r="BL42" s="79"/>
      <c r="BM42" s="79">
        <f t="shared" si="29"/>
        <v>0</v>
      </c>
      <c r="BN42" s="79"/>
      <c r="BO42" s="79">
        <f t="shared" si="29"/>
        <v>0</v>
      </c>
      <c r="BP42" s="79"/>
      <c r="BQ42" s="79">
        <f t="shared" si="29"/>
        <v>0</v>
      </c>
      <c r="BR42" s="79"/>
      <c r="BS42" s="79">
        <f t="shared" si="29"/>
        <v>0</v>
      </c>
      <c r="BT42" s="79"/>
      <c r="BU42" s="79">
        <f t="shared" si="29"/>
        <v>0</v>
      </c>
      <c r="BV42" s="79"/>
      <c r="BW42" s="79">
        <f t="shared" si="29"/>
        <v>0</v>
      </c>
      <c r="BX42" s="79"/>
      <c r="BY42" s="79">
        <f t="shared" si="29"/>
        <v>0</v>
      </c>
      <c r="BZ42" s="79"/>
      <c r="CA42" s="79">
        <f t="shared" si="29"/>
        <v>0</v>
      </c>
      <c r="CB42" s="79"/>
      <c r="CC42" s="79">
        <f t="shared" si="29"/>
        <v>0</v>
      </c>
      <c r="CD42" s="79"/>
      <c r="CE42" s="79">
        <f t="shared" si="29"/>
        <v>0</v>
      </c>
      <c r="CF42" s="79"/>
      <c r="CG42" s="79">
        <f t="shared" si="29"/>
        <v>0</v>
      </c>
      <c r="CH42" s="79"/>
      <c r="CI42" s="79">
        <f t="shared" si="29"/>
        <v>0</v>
      </c>
      <c r="CJ42" s="79"/>
      <c r="CK42" s="79">
        <f t="shared" si="29"/>
        <v>0</v>
      </c>
      <c r="CL42" s="79"/>
      <c r="CM42" s="79">
        <f t="shared" si="29"/>
        <v>0</v>
      </c>
      <c r="CN42" s="79"/>
      <c r="CO42" s="79">
        <f t="shared" si="29"/>
        <v>0</v>
      </c>
      <c r="CP42" s="79"/>
      <c r="CQ42" s="79">
        <f t="shared" si="29"/>
        <v>0</v>
      </c>
      <c r="CR42" s="79"/>
      <c r="CS42" s="79">
        <f t="shared" si="29"/>
        <v>0</v>
      </c>
      <c r="CT42" s="79"/>
      <c r="CU42" s="79">
        <f t="shared" si="29"/>
        <v>139957.24116679913</v>
      </c>
      <c r="CV42" s="79"/>
      <c r="CW42" s="79">
        <f t="shared" si="29"/>
        <v>143598.05283136433</v>
      </c>
      <c r="CX42" s="79"/>
      <c r="CY42" s="79">
        <f t="shared" si="29"/>
        <v>154283.51529388927</v>
      </c>
      <c r="CZ42" s="79"/>
      <c r="DA42" s="79">
        <f t="shared" si="29"/>
        <v>0</v>
      </c>
      <c r="DB42" s="422"/>
      <c r="DC42" s="422"/>
      <c r="DD42" s="422"/>
      <c r="DE42" s="422"/>
      <c r="DF42" s="422"/>
      <c r="DG42" s="422"/>
      <c r="DH42" s="422"/>
      <c r="DI42" s="422"/>
      <c r="DJ42" s="422"/>
      <c r="DK42" s="422"/>
      <c r="DL42" s="422"/>
      <c r="DM42" s="422"/>
      <c r="DN42" s="422"/>
      <c r="DO42" s="422"/>
      <c r="DP42" s="422"/>
      <c r="DQ42" s="422"/>
      <c r="DR42" s="422"/>
      <c r="DS42" s="422"/>
      <c r="DT42" s="422"/>
      <c r="DU42" s="422"/>
      <c r="DV42" s="422"/>
      <c r="DW42" s="422"/>
      <c r="DX42" s="422"/>
      <c r="DY42" s="422"/>
      <c r="DZ42" s="422"/>
      <c r="EA42" s="422"/>
      <c r="EB42" s="422"/>
      <c r="EC42" s="422"/>
      <c r="ED42" s="422"/>
      <c r="EE42" s="422"/>
      <c r="EF42" s="422"/>
      <c r="EG42" s="422"/>
      <c r="EH42" s="422"/>
      <c r="EI42" s="422"/>
      <c r="EJ42" s="422"/>
      <c r="EK42" s="422"/>
      <c r="EL42" s="422"/>
      <c r="EM42" s="422"/>
      <c r="EN42" s="422"/>
    </row>
    <row r="43" spans="1:144" s="211" customFormat="1" ht="12.6" customHeight="1" x14ac:dyDescent="0.2">
      <c r="A43" s="302"/>
      <c r="B43" s="302"/>
      <c r="C43" s="300" t="s">
        <v>484</v>
      </c>
      <c r="D43" s="771" t="s">
        <v>121</v>
      </c>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1"/>
      <c r="AY43" s="771"/>
      <c r="AZ43" s="771"/>
      <c r="BA43" s="771"/>
      <c r="BB43" s="771"/>
      <c r="BC43" s="419"/>
      <c r="BD43" s="320">
        <v>30</v>
      </c>
      <c r="BE43" s="423" t="s">
        <v>180</v>
      </c>
      <c r="BF43" s="98" t="s">
        <v>462</v>
      </c>
      <c r="BG43" s="82">
        <f>F8+F9</f>
        <v>0</v>
      </c>
      <c r="BH43" s="82"/>
      <c r="BI43" s="82">
        <f t="shared" ref="BI43:DA43" si="30">H8+H9</f>
        <v>0</v>
      </c>
      <c r="BJ43" s="82"/>
      <c r="BK43" s="82">
        <f t="shared" si="30"/>
        <v>0</v>
      </c>
      <c r="BL43" s="82"/>
      <c r="BM43" s="82">
        <f t="shared" si="30"/>
        <v>0</v>
      </c>
      <c r="BN43" s="82"/>
      <c r="BO43" s="82">
        <f t="shared" si="30"/>
        <v>0</v>
      </c>
      <c r="BP43" s="82"/>
      <c r="BQ43" s="82">
        <f t="shared" si="30"/>
        <v>0</v>
      </c>
      <c r="BR43" s="82"/>
      <c r="BS43" s="82">
        <f t="shared" si="30"/>
        <v>0</v>
      </c>
      <c r="BT43" s="82"/>
      <c r="BU43" s="82">
        <f t="shared" si="30"/>
        <v>0</v>
      </c>
      <c r="BV43" s="82"/>
      <c r="BW43" s="82">
        <f t="shared" si="30"/>
        <v>0</v>
      </c>
      <c r="BX43" s="82"/>
      <c r="BY43" s="82">
        <f t="shared" si="30"/>
        <v>0</v>
      </c>
      <c r="BZ43" s="82"/>
      <c r="CA43" s="82">
        <f t="shared" si="30"/>
        <v>0</v>
      </c>
      <c r="CB43" s="82"/>
      <c r="CC43" s="82">
        <f t="shared" si="30"/>
        <v>0</v>
      </c>
      <c r="CD43" s="82"/>
      <c r="CE43" s="82">
        <f t="shared" si="30"/>
        <v>0</v>
      </c>
      <c r="CF43" s="82"/>
      <c r="CG43" s="82">
        <f t="shared" si="30"/>
        <v>0</v>
      </c>
      <c r="CH43" s="82"/>
      <c r="CI43" s="82">
        <f t="shared" si="30"/>
        <v>0</v>
      </c>
      <c r="CJ43" s="82"/>
      <c r="CK43" s="82">
        <f t="shared" si="30"/>
        <v>0</v>
      </c>
      <c r="CL43" s="82"/>
      <c r="CM43" s="82">
        <f t="shared" si="30"/>
        <v>0</v>
      </c>
      <c r="CN43" s="82"/>
      <c r="CO43" s="82">
        <f t="shared" si="30"/>
        <v>0</v>
      </c>
      <c r="CP43" s="82"/>
      <c r="CQ43" s="82">
        <f t="shared" si="30"/>
        <v>0</v>
      </c>
      <c r="CR43" s="82"/>
      <c r="CS43" s="82">
        <f t="shared" si="30"/>
        <v>0</v>
      </c>
      <c r="CT43" s="82"/>
      <c r="CU43" s="82">
        <f t="shared" si="30"/>
        <v>139957.24116679913</v>
      </c>
      <c r="CV43" s="82"/>
      <c r="CW43" s="82">
        <f t="shared" si="30"/>
        <v>143598.05283136433</v>
      </c>
      <c r="CX43" s="82"/>
      <c r="CY43" s="82">
        <f t="shared" si="30"/>
        <v>154283.51529388927</v>
      </c>
      <c r="CZ43" s="82"/>
      <c r="DA43" s="82">
        <f t="shared" si="30"/>
        <v>0</v>
      </c>
      <c r="DB43" s="422"/>
      <c r="DC43" s="422"/>
      <c r="DD43" s="422"/>
      <c r="DE43" s="422"/>
      <c r="DF43" s="422"/>
      <c r="DG43" s="422"/>
      <c r="DH43" s="422"/>
      <c r="DI43" s="422"/>
      <c r="DJ43" s="422"/>
      <c r="DK43" s="422"/>
      <c r="DL43" s="422"/>
      <c r="DM43" s="422"/>
      <c r="DN43" s="422"/>
      <c r="DO43" s="422"/>
      <c r="DP43" s="422"/>
      <c r="DQ43" s="422"/>
      <c r="DR43" s="422"/>
      <c r="DS43" s="422"/>
      <c r="DT43" s="422"/>
      <c r="DU43" s="422"/>
      <c r="DV43" s="422"/>
      <c r="DW43" s="422"/>
      <c r="DX43" s="422"/>
      <c r="DY43" s="422"/>
      <c r="DZ43" s="422"/>
      <c r="EA43" s="422"/>
      <c r="EB43" s="422"/>
      <c r="EC43" s="422"/>
      <c r="ED43" s="422"/>
      <c r="EE43" s="422"/>
      <c r="EF43" s="422"/>
      <c r="EG43" s="422"/>
      <c r="EH43" s="422"/>
      <c r="EI43" s="422"/>
      <c r="EJ43" s="422"/>
      <c r="EK43" s="422"/>
      <c r="EL43" s="422"/>
      <c r="EM43" s="422"/>
      <c r="EN43" s="422"/>
    </row>
    <row r="44" spans="1:144" s="211" customFormat="1" ht="1.9" customHeight="1" x14ac:dyDescent="0.2">
      <c r="A44" s="302"/>
      <c r="B44" s="302"/>
      <c r="C44" s="300"/>
      <c r="D44" s="78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419"/>
      <c r="BD44" s="308" t="s">
        <v>139</v>
      </c>
      <c r="BE44" s="423" t="s">
        <v>594</v>
      </c>
      <c r="BF44" s="98"/>
      <c r="BG44" s="79" t="str">
        <f>IF(OR(ISBLANK(F8),ISBLANK(F9),ISBLANK(F10)),"N/A",IF((BG42=BG43),"ok","&lt;&gt;"))</f>
        <v>N/A</v>
      </c>
      <c r="BH44" s="79"/>
      <c r="BI44" s="79" t="str">
        <f t="shared" ref="BI44:DA44" si="31">IF(OR(ISBLANK(H8),ISBLANK(H9),ISBLANK(H10)),"N/A",IF((BI42=BI43),"ok","&lt;&gt;"))</f>
        <v>N/A</v>
      </c>
      <c r="BJ44" s="79"/>
      <c r="BK44" s="79" t="str">
        <f t="shared" si="31"/>
        <v>N/A</v>
      </c>
      <c r="BL44" s="79"/>
      <c r="BM44" s="79" t="str">
        <f t="shared" si="31"/>
        <v>N/A</v>
      </c>
      <c r="BN44" s="79"/>
      <c r="BO44" s="79" t="str">
        <f t="shared" si="31"/>
        <v>N/A</v>
      </c>
      <c r="BP44" s="79"/>
      <c r="BQ44" s="79" t="str">
        <f t="shared" si="31"/>
        <v>N/A</v>
      </c>
      <c r="BR44" s="79"/>
      <c r="BS44" s="79" t="str">
        <f t="shared" si="31"/>
        <v>N/A</v>
      </c>
      <c r="BT44" s="79"/>
      <c r="BU44" s="79" t="str">
        <f t="shared" si="31"/>
        <v>N/A</v>
      </c>
      <c r="BV44" s="79"/>
      <c r="BW44" s="79" t="str">
        <f t="shared" si="31"/>
        <v>N/A</v>
      </c>
      <c r="BX44" s="79"/>
      <c r="BY44" s="79" t="str">
        <f t="shared" si="31"/>
        <v>N/A</v>
      </c>
      <c r="BZ44" s="79"/>
      <c r="CA44" s="79" t="str">
        <f t="shared" si="31"/>
        <v>N/A</v>
      </c>
      <c r="CB44" s="79"/>
      <c r="CC44" s="79" t="str">
        <f t="shared" si="31"/>
        <v>N/A</v>
      </c>
      <c r="CD44" s="79"/>
      <c r="CE44" s="79" t="str">
        <f t="shared" si="31"/>
        <v>N/A</v>
      </c>
      <c r="CF44" s="79"/>
      <c r="CG44" s="79" t="str">
        <f t="shared" si="31"/>
        <v>N/A</v>
      </c>
      <c r="CH44" s="79"/>
      <c r="CI44" s="79" t="str">
        <f t="shared" si="31"/>
        <v>N/A</v>
      </c>
      <c r="CJ44" s="79"/>
      <c r="CK44" s="79" t="str">
        <f t="shared" si="31"/>
        <v>N/A</v>
      </c>
      <c r="CL44" s="79"/>
      <c r="CM44" s="79" t="str">
        <f t="shared" si="31"/>
        <v>N/A</v>
      </c>
      <c r="CN44" s="79"/>
      <c r="CO44" s="79" t="str">
        <f t="shared" si="31"/>
        <v>N/A</v>
      </c>
      <c r="CP44" s="79"/>
      <c r="CQ44" s="79" t="str">
        <f t="shared" si="31"/>
        <v>N/A</v>
      </c>
      <c r="CR44" s="79"/>
      <c r="CS44" s="79" t="str">
        <f t="shared" si="31"/>
        <v>N/A</v>
      </c>
      <c r="CT44" s="79"/>
      <c r="CU44" s="79" t="str">
        <f t="shared" si="31"/>
        <v>ok</v>
      </c>
      <c r="CV44" s="79"/>
      <c r="CW44" s="79" t="str">
        <f t="shared" si="31"/>
        <v>ok</v>
      </c>
      <c r="CX44" s="79"/>
      <c r="CY44" s="79" t="str">
        <f t="shared" si="31"/>
        <v>ok</v>
      </c>
      <c r="CZ44" s="79"/>
      <c r="DA44" s="79" t="str">
        <f t="shared" si="31"/>
        <v>N/A</v>
      </c>
      <c r="DB44" s="422"/>
      <c r="DC44" s="422"/>
      <c r="DD44" s="422"/>
      <c r="DE44" s="422"/>
      <c r="DF44" s="422"/>
      <c r="DG44" s="422"/>
      <c r="DH44" s="422"/>
      <c r="DI44" s="422"/>
      <c r="DJ44" s="422"/>
      <c r="DK44" s="422"/>
      <c r="DL44" s="422"/>
      <c r="DM44" s="422"/>
      <c r="DN44" s="422"/>
      <c r="DO44" s="422"/>
      <c r="DP44" s="422"/>
      <c r="DQ44" s="422"/>
      <c r="DR44" s="422"/>
      <c r="DS44" s="422"/>
      <c r="DT44" s="422"/>
      <c r="DU44" s="422"/>
      <c r="DV44" s="422"/>
      <c r="DW44" s="422"/>
      <c r="DX44" s="422"/>
      <c r="DY44" s="422"/>
      <c r="DZ44" s="422"/>
      <c r="EA44" s="422"/>
      <c r="EB44" s="422"/>
      <c r="EC44" s="422"/>
      <c r="ED44" s="422"/>
      <c r="EE44" s="422"/>
      <c r="EF44" s="422"/>
      <c r="EG44" s="422"/>
      <c r="EH44" s="422"/>
      <c r="EI44" s="422"/>
      <c r="EJ44" s="422"/>
      <c r="EK44" s="422"/>
      <c r="EL44" s="422"/>
      <c r="EM44" s="422"/>
      <c r="EN44" s="422"/>
    </row>
    <row r="45" spans="1:144" s="406" customFormat="1" ht="27" customHeight="1" x14ac:dyDescent="0.2">
      <c r="A45" s="230"/>
      <c r="B45" s="199"/>
      <c r="C45" s="424"/>
      <c r="D45" s="317"/>
      <c r="E45" s="819" t="str">
        <f>LEFT(D10,LEN(D10)-7)&amp;" (W2,3)"</f>
        <v>Extracción de agua dulce (W2,3)</v>
      </c>
      <c r="F45" s="820"/>
      <c r="G45" s="820"/>
      <c r="H45" s="821"/>
      <c r="I45" s="312"/>
      <c r="J45" s="312"/>
      <c r="K45" s="312"/>
      <c r="L45" s="312"/>
      <c r="M45" s="312"/>
      <c r="N45" s="312"/>
      <c r="O45" s="312"/>
      <c r="P45" s="312"/>
      <c r="Q45" s="312"/>
      <c r="R45" s="312"/>
      <c r="S45" s="312"/>
      <c r="T45" s="312"/>
      <c r="U45" s="312"/>
      <c r="V45" s="312"/>
      <c r="W45" s="312"/>
      <c r="X45" s="312"/>
      <c r="Y45" s="312"/>
      <c r="Z45" s="312"/>
      <c r="AA45" s="312"/>
      <c r="AB45" s="312"/>
      <c r="AC45" s="317"/>
      <c r="AD45" s="317"/>
      <c r="AE45" s="551"/>
      <c r="AF45" s="551"/>
      <c r="AG45" s="551"/>
      <c r="AH45" s="551"/>
      <c r="AI45" s="551"/>
      <c r="AJ45" s="551"/>
      <c r="AK45" s="551"/>
      <c r="AL45" s="551"/>
      <c r="AM45" s="551"/>
      <c r="AN45" s="551"/>
      <c r="AO45" s="551"/>
      <c r="AP45" s="551"/>
      <c r="AQ45" s="312"/>
      <c r="AR45" s="312"/>
      <c r="AS45" s="312"/>
      <c r="AT45" s="312"/>
      <c r="AU45" s="312"/>
      <c r="AV45" s="312"/>
      <c r="AW45" s="312"/>
      <c r="AX45" s="312"/>
      <c r="AY45" s="312"/>
      <c r="AZ45" s="312"/>
      <c r="BA45" s="551"/>
      <c r="BB45" s="211"/>
      <c r="BC45" s="233"/>
      <c r="BD45" s="402">
        <v>18</v>
      </c>
      <c r="BE45" s="403" t="s">
        <v>588</v>
      </c>
      <c r="BF45" s="98" t="s">
        <v>462</v>
      </c>
      <c r="BG45" s="82">
        <f>F26</f>
        <v>0</v>
      </c>
      <c r="BH45" s="82"/>
      <c r="BI45" s="82">
        <f t="shared" ref="BI45:DA45" si="32">H26</f>
        <v>0</v>
      </c>
      <c r="BJ45" s="82"/>
      <c r="BK45" s="82">
        <f t="shared" si="32"/>
        <v>0</v>
      </c>
      <c r="BL45" s="82"/>
      <c r="BM45" s="82">
        <f t="shared" si="32"/>
        <v>0</v>
      </c>
      <c r="BN45" s="82"/>
      <c r="BO45" s="82">
        <f t="shared" si="32"/>
        <v>0</v>
      </c>
      <c r="BP45" s="82"/>
      <c r="BQ45" s="82">
        <f t="shared" si="32"/>
        <v>0</v>
      </c>
      <c r="BR45" s="82"/>
      <c r="BS45" s="82">
        <f t="shared" si="32"/>
        <v>0</v>
      </c>
      <c r="BT45" s="82"/>
      <c r="BU45" s="82">
        <f t="shared" si="32"/>
        <v>0</v>
      </c>
      <c r="BV45" s="82"/>
      <c r="BW45" s="82">
        <f t="shared" si="32"/>
        <v>0</v>
      </c>
      <c r="BX45" s="82"/>
      <c r="BY45" s="82">
        <f t="shared" si="32"/>
        <v>0</v>
      </c>
      <c r="BZ45" s="82"/>
      <c r="CA45" s="82">
        <f t="shared" si="32"/>
        <v>0</v>
      </c>
      <c r="CB45" s="82"/>
      <c r="CC45" s="82">
        <f t="shared" si="32"/>
        <v>0</v>
      </c>
      <c r="CD45" s="82"/>
      <c r="CE45" s="82">
        <f t="shared" si="32"/>
        <v>0</v>
      </c>
      <c r="CF45" s="82"/>
      <c r="CG45" s="82">
        <f t="shared" si="32"/>
        <v>0</v>
      </c>
      <c r="CH45" s="82"/>
      <c r="CI45" s="82">
        <f t="shared" si="32"/>
        <v>0</v>
      </c>
      <c r="CJ45" s="82"/>
      <c r="CK45" s="82">
        <f t="shared" si="32"/>
        <v>0</v>
      </c>
      <c r="CL45" s="82"/>
      <c r="CM45" s="82">
        <f t="shared" si="32"/>
        <v>0</v>
      </c>
      <c r="CN45" s="82"/>
      <c r="CO45" s="82">
        <f t="shared" si="32"/>
        <v>0</v>
      </c>
      <c r="CP45" s="82"/>
      <c r="CQ45" s="82">
        <f t="shared" si="32"/>
        <v>0</v>
      </c>
      <c r="CR45" s="82"/>
      <c r="CS45" s="82">
        <f t="shared" si="32"/>
        <v>0</v>
      </c>
      <c r="CT45" s="82"/>
      <c r="CU45" s="82">
        <f t="shared" si="32"/>
        <v>139957.24116679913</v>
      </c>
      <c r="CV45" s="82"/>
      <c r="CW45" s="82">
        <f t="shared" si="32"/>
        <v>143598.05283136433</v>
      </c>
      <c r="CX45" s="82"/>
      <c r="CY45" s="82">
        <f t="shared" si="32"/>
        <v>154283.51529388927</v>
      </c>
      <c r="CZ45" s="82"/>
      <c r="DA45" s="82">
        <f t="shared" si="32"/>
        <v>0</v>
      </c>
      <c r="DB45" s="357"/>
      <c r="DC45" s="357"/>
      <c r="DD45" s="357"/>
      <c r="DE45" s="357"/>
      <c r="DF45" s="357"/>
      <c r="DG45" s="357"/>
      <c r="DH45" s="357"/>
      <c r="DI45" s="357"/>
      <c r="DJ45" s="357"/>
      <c r="DK45" s="357"/>
      <c r="DL45" s="357"/>
      <c r="DM45" s="357"/>
      <c r="DN45" s="357"/>
      <c r="DO45" s="357"/>
      <c r="DP45" s="357"/>
      <c r="DQ45" s="357"/>
      <c r="DR45" s="357"/>
      <c r="DS45" s="357"/>
      <c r="DT45" s="357"/>
      <c r="DU45" s="357"/>
      <c r="DV45" s="357"/>
      <c r="DW45" s="357"/>
      <c r="DX45" s="357"/>
      <c r="DY45" s="357"/>
      <c r="DZ45" s="357"/>
      <c r="EA45" s="357"/>
      <c r="EB45" s="357"/>
      <c r="EC45" s="357"/>
      <c r="ED45" s="357"/>
      <c r="EE45" s="357"/>
      <c r="EF45" s="357"/>
      <c r="EG45" s="357"/>
      <c r="EH45" s="357"/>
      <c r="EI45" s="357"/>
      <c r="EJ45" s="357"/>
      <c r="EK45" s="357"/>
      <c r="EL45" s="357"/>
      <c r="EM45" s="357"/>
      <c r="EN45" s="357"/>
    </row>
    <row r="46" spans="1:144" ht="12" customHeight="1" x14ac:dyDescent="0.2">
      <c r="C46" s="424"/>
      <c r="D46" s="552" t="str">
        <f>D11</f>
        <v>de la cual extraída por:</v>
      </c>
      <c r="E46" s="553"/>
      <c r="F46" s="312"/>
      <c r="G46" s="312"/>
      <c r="H46" s="312"/>
      <c r="I46" s="312"/>
      <c r="J46" s="312"/>
      <c r="K46" s="312"/>
      <c r="L46" s="312"/>
      <c r="M46" s="312"/>
      <c r="N46" s="312"/>
      <c r="O46" s="312"/>
      <c r="P46" s="312"/>
      <c r="Q46" s="312"/>
      <c r="R46" s="312"/>
      <c r="S46" s="312"/>
      <c r="T46" s="312"/>
      <c r="U46" s="312"/>
      <c r="V46" s="312"/>
      <c r="W46" s="312"/>
      <c r="X46" s="312"/>
      <c r="Y46" s="312"/>
      <c r="Z46" s="312"/>
      <c r="AK46" s="551"/>
      <c r="AL46" s="551"/>
      <c r="AM46" s="551"/>
      <c r="AN46" s="551"/>
      <c r="AO46" s="551"/>
      <c r="AP46" s="555"/>
      <c r="AQ46" s="312"/>
      <c r="AR46" s="312"/>
      <c r="AS46" s="312"/>
      <c r="AT46" s="312"/>
      <c r="AU46" s="312"/>
      <c r="AV46" s="312"/>
      <c r="AW46" s="312"/>
      <c r="AX46" s="312"/>
      <c r="AY46" s="312"/>
      <c r="AZ46" s="312"/>
      <c r="BA46" s="565"/>
      <c r="BB46" s="211"/>
      <c r="BD46" s="320">
        <v>31</v>
      </c>
      <c r="BE46" s="423" t="s">
        <v>595</v>
      </c>
      <c r="BF46" s="98" t="s">
        <v>462</v>
      </c>
      <c r="BG46" s="82">
        <f>F10+F22+F23+F24-F25</f>
        <v>0</v>
      </c>
      <c r="BH46" s="82"/>
      <c r="BI46" s="82">
        <f t="shared" ref="BI46:DA46" si="33">H10+H22+H23+H24-H25</f>
        <v>0</v>
      </c>
      <c r="BJ46" s="82"/>
      <c r="BK46" s="82">
        <f t="shared" si="33"/>
        <v>0</v>
      </c>
      <c r="BL46" s="82"/>
      <c r="BM46" s="82">
        <f t="shared" si="33"/>
        <v>0</v>
      </c>
      <c r="BN46" s="82"/>
      <c r="BO46" s="82">
        <f t="shared" si="33"/>
        <v>0</v>
      </c>
      <c r="BP46" s="82"/>
      <c r="BQ46" s="82">
        <f t="shared" si="33"/>
        <v>0</v>
      </c>
      <c r="BR46" s="82"/>
      <c r="BS46" s="82">
        <f t="shared" si="33"/>
        <v>0</v>
      </c>
      <c r="BT46" s="82"/>
      <c r="BU46" s="82">
        <f t="shared" si="33"/>
        <v>0</v>
      </c>
      <c r="BV46" s="82"/>
      <c r="BW46" s="82">
        <f t="shared" si="33"/>
        <v>0</v>
      </c>
      <c r="BX46" s="82"/>
      <c r="BY46" s="82">
        <f t="shared" si="33"/>
        <v>0</v>
      </c>
      <c r="BZ46" s="82"/>
      <c r="CA46" s="82">
        <f t="shared" si="33"/>
        <v>0</v>
      </c>
      <c r="CB46" s="82"/>
      <c r="CC46" s="82">
        <f t="shared" si="33"/>
        <v>0</v>
      </c>
      <c r="CD46" s="82"/>
      <c r="CE46" s="82">
        <f t="shared" si="33"/>
        <v>0</v>
      </c>
      <c r="CF46" s="82"/>
      <c r="CG46" s="82">
        <f t="shared" si="33"/>
        <v>0</v>
      </c>
      <c r="CH46" s="82"/>
      <c r="CI46" s="82">
        <f t="shared" si="33"/>
        <v>0</v>
      </c>
      <c r="CJ46" s="82"/>
      <c r="CK46" s="82">
        <f t="shared" si="33"/>
        <v>0</v>
      </c>
      <c r="CL46" s="82"/>
      <c r="CM46" s="82">
        <f t="shared" si="33"/>
        <v>0</v>
      </c>
      <c r="CN46" s="82"/>
      <c r="CO46" s="82">
        <f t="shared" si="33"/>
        <v>0</v>
      </c>
      <c r="CP46" s="82"/>
      <c r="CQ46" s="82">
        <f t="shared" si="33"/>
        <v>0</v>
      </c>
      <c r="CR46" s="82"/>
      <c r="CS46" s="82">
        <f t="shared" si="33"/>
        <v>0</v>
      </c>
      <c r="CT46" s="82"/>
      <c r="CU46" s="82">
        <f t="shared" si="33"/>
        <v>139957.24116679913</v>
      </c>
      <c r="CV46" s="82"/>
      <c r="CW46" s="82">
        <f t="shared" si="33"/>
        <v>143598.05283136433</v>
      </c>
      <c r="CX46" s="82"/>
      <c r="CY46" s="82">
        <f t="shared" si="33"/>
        <v>154283.51529388927</v>
      </c>
      <c r="CZ46" s="82"/>
      <c r="DA46" s="82">
        <f t="shared" si="33"/>
        <v>0</v>
      </c>
    </row>
    <row r="47" spans="1:144" ht="20.100000000000001" customHeight="1" x14ac:dyDescent="0.2">
      <c r="C47" s="424"/>
      <c r="D47" s="556" t="str">
        <f>D12&amp;" (W2,4)"</f>
        <v>Industria del suministro de agua (CIIU 36) (W2,4)</v>
      </c>
      <c r="E47" s="557"/>
      <c r="F47" s="805" t="str">
        <f>D22&amp;" (W2,14)"</f>
        <v>Agua desalinizada (W2,14)</v>
      </c>
      <c r="G47" s="806"/>
      <c r="H47" s="807"/>
      <c r="I47" s="551"/>
      <c r="J47" s="551"/>
      <c r="K47" s="551"/>
      <c r="L47" s="551"/>
      <c r="M47" s="551"/>
      <c r="N47" s="551"/>
      <c r="O47" s="551"/>
      <c r="P47" s="551"/>
      <c r="Q47" s="551"/>
      <c r="R47" s="551"/>
      <c r="S47" s="551"/>
      <c r="T47" s="551"/>
      <c r="U47" s="551"/>
      <c r="V47" s="551"/>
      <c r="W47" s="551"/>
      <c r="X47" s="551"/>
      <c r="Y47" s="551"/>
      <c r="Z47" s="312"/>
      <c r="AA47" s="565"/>
      <c r="AB47" s="565"/>
      <c r="AC47" s="551"/>
      <c r="AD47" s="551"/>
      <c r="AE47" s="312"/>
      <c r="AF47" s="565"/>
      <c r="AG47" s="565"/>
      <c r="AH47" s="565"/>
      <c r="AI47" s="554"/>
      <c r="AJ47" s="554"/>
      <c r="AK47" s="312"/>
      <c r="AL47" s="565"/>
      <c r="AM47" s="565"/>
      <c r="AN47" s="551"/>
      <c r="AO47" s="551"/>
      <c r="AP47" s="551"/>
      <c r="AQ47" s="633"/>
      <c r="AR47" s="633"/>
      <c r="AS47" s="633"/>
      <c r="AT47" s="633"/>
      <c r="AU47" s="633"/>
      <c r="AV47" s="633"/>
      <c r="AW47" s="633"/>
      <c r="AX47" s="633"/>
      <c r="AY47" s="633"/>
      <c r="AZ47" s="633"/>
      <c r="BA47" s="633"/>
      <c r="BB47" s="211"/>
      <c r="BD47" s="308" t="s">
        <v>139</v>
      </c>
      <c r="BE47" s="423" t="s">
        <v>596</v>
      </c>
      <c r="BF47" s="98"/>
      <c r="BG47" s="79" t="str">
        <f>IF(OR(ISBLANK(F10),ISBLANK(F22),ISBLANK(F23),ISBLANK(F24),ISBLANK(F25),ISBLANK(F26)),"N/A",IF((BG45=BG46),"ok","&lt;&gt;"))</f>
        <v>N/A</v>
      </c>
      <c r="BH47" s="79"/>
      <c r="BI47" s="79" t="str">
        <f t="shared" ref="BI47:DA47" si="34">IF(OR(ISBLANK(H10),ISBLANK(H22),ISBLANK(H23),ISBLANK(H24),ISBLANK(H25),ISBLANK(H26)),"N/A",IF((BI45=BI46),"ok","&lt;&gt;"))</f>
        <v>N/A</v>
      </c>
      <c r="BJ47" s="79"/>
      <c r="BK47" s="79" t="str">
        <f t="shared" si="34"/>
        <v>N/A</v>
      </c>
      <c r="BL47" s="79"/>
      <c r="BM47" s="79" t="str">
        <f t="shared" si="34"/>
        <v>N/A</v>
      </c>
      <c r="BN47" s="79"/>
      <c r="BO47" s="79" t="str">
        <f t="shared" si="34"/>
        <v>N/A</v>
      </c>
      <c r="BP47" s="79"/>
      <c r="BQ47" s="79" t="str">
        <f t="shared" si="34"/>
        <v>N/A</v>
      </c>
      <c r="BR47" s="79"/>
      <c r="BS47" s="79" t="str">
        <f t="shared" si="34"/>
        <v>N/A</v>
      </c>
      <c r="BT47" s="79"/>
      <c r="BU47" s="79" t="str">
        <f t="shared" si="34"/>
        <v>N/A</v>
      </c>
      <c r="BV47" s="79"/>
      <c r="BW47" s="79" t="str">
        <f t="shared" si="34"/>
        <v>N/A</v>
      </c>
      <c r="BX47" s="79"/>
      <c r="BY47" s="79" t="str">
        <f t="shared" si="34"/>
        <v>N/A</v>
      </c>
      <c r="BZ47" s="79"/>
      <c r="CA47" s="79" t="str">
        <f t="shared" si="34"/>
        <v>N/A</v>
      </c>
      <c r="CB47" s="79"/>
      <c r="CC47" s="79" t="str">
        <f t="shared" si="34"/>
        <v>N/A</v>
      </c>
      <c r="CD47" s="79"/>
      <c r="CE47" s="79" t="str">
        <f t="shared" si="34"/>
        <v>N/A</v>
      </c>
      <c r="CF47" s="79"/>
      <c r="CG47" s="79" t="str">
        <f t="shared" si="34"/>
        <v>N/A</v>
      </c>
      <c r="CH47" s="79"/>
      <c r="CI47" s="79" t="str">
        <f t="shared" si="34"/>
        <v>N/A</v>
      </c>
      <c r="CJ47" s="79"/>
      <c r="CK47" s="79" t="str">
        <f t="shared" si="34"/>
        <v>N/A</v>
      </c>
      <c r="CL47" s="79"/>
      <c r="CM47" s="79" t="str">
        <f t="shared" si="34"/>
        <v>N/A</v>
      </c>
      <c r="CN47" s="79"/>
      <c r="CO47" s="79" t="str">
        <f t="shared" si="34"/>
        <v>N/A</v>
      </c>
      <c r="CP47" s="79"/>
      <c r="CQ47" s="79" t="str">
        <f t="shared" si="34"/>
        <v>N/A</v>
      </c>
      <c r="CR47" s="79"/>
      <c r="CS47" s="79" t="str">
        <f t="shared" si="34"/>
        <v>N/A</v>
      </c>
      <c r="CT47" s="79"/>
      <c r="CU47" s="79" t="str">
        <f t="shared" si="34"/>
        <v>N/A</v>
      </c>
      <c r="CV47" s="79"/>
      <c r="CW47" s="79" t="str">
        <f t="shared" si="34"/>
        <v>N/A</v>
      </c>
      <c r="CX47" s="79"/>
      <c r="CY47" s="79" t="str">
        <f t="shared" si="34"/>
        <v>N/A</v>
      </c>
      <c r="CZ47" s="79"/>
      <c r="DA47" s="79" t="str">
        <f t="shared" si="34"/>
        <v>N/A</v>
      </c>
    </row>
    <row r="48" spans="1:144" ht="20.100000000000001" customHeight="1" x14ac:dyDescent="0.2">
      <c r="D48" s="558"/>
      <c r="E48" s="551"/>
      <c r="F48" s="808"/>
      <c r="G48" s="809"/>
      <c r="H48" s="810"/>
      <c r="I48" s="551"/>
      <c r="J48" s="551"/>
      <c r="K48" s="551"/>
      <c r="L48" s="551"/>
      <c r="M48" s="551"/>
      <c r="N48" s="551"/>
      <c r="O48" s="551"/>
      <c r="P48" s="551"/>
      <c r="Q48" s="551"/>
      <c r="R48" s="551"/>
      <c r="S48" s="551"/>
      <c r="T48" s="551"/>
      <c r="U48" s="811" t="s">
        <v>125</v>
      </c>
      <c r="V48" s="812"/>
      <c r="W48" s="551"/>
      <c r="X48" s="551"/>
      <c r="Y48" s="551"/>
      <c r="Z48" s="565"/>
      <c r="AK48" s="565"/>
      <c r="AL48" s="565"/>
      <c r="AM48" s="565"/>
      <c r="AN48" s="551"/>
      <c r="AO48" s="551"/>
      <c r="AP48" s="551"/>
      <c r="AQ48" s="312"/>
      <c r="AR48" s="565"/>
      <c r="AS48" s="565"/>
      <c r="AT48" s="565"/>
      <c r="AU48" s="565"/>
      <c r="AV48" s="565"/>
      <c r="AW48" s="565"/>
      <c r="AX48" s="565"/>
      <c r="AY48" s="565"/>
      <c r="AZ48" s="565"/>
      <c r="BA48" s="565"/>
      <c r="BD48" s="402">
        <v>3</v>
      </c>
      <c r="BE48" s="564" t="s">
        <v>597</v>
      </c>
      <c r="BF48" s="98" t="s">
        <v>462</v>
      </c>
      <c r="BG48" s="79">
        <f>F10</f>
        <v>0</v>
      </c>
      <c r="BH48" s="79"/>
      <c r="BI48" s="79">
        <f t="shared" ref="BI48:DA48" si="35">H10</f>
        <v>0</v>
      </c>
      <c r="BJ48" s="79"/>
      <c r="BK48" s="79">
        <f t="shared" si="35"/>
        <v>0</v>
      </c>
      <c r="BL48" s="79"/>
      <c r="BM48" s="79">
        <f t="shared" si="35"/>
        <v>0</v>
      </c>
      <c r="BN48" s="79"/>
      <c r="BO48" s="79">
        <f t="shared" si="35"/>
        <v>0</v>
      </c>
      <c r="BP48" s="79"/>
      <c r="BQ48" s="79">
        <f t="shared" si="35"/>
        <v>0</v>
      </c>
      <c r="BR48" s="79"/>
      <c r="BS48" s="79">
        <f t="shared" si="35"/>
        <v>0</v>
      </c>
      <c r="BT48" s="79"/>
      <c r="BU48" s="79">
        <f t="shared" si="35"/>
        <v>0</v>
      </c>
      <c r="BV48" s="79"/>
      <c r="BW48" s="79">
        <f t="shared" si="35"/>
        <v>0</v>
      </c>
      <c r="BX48" s="79"/>
      <c r="BY48" s="79">
        <f t="shared" si="35"/>
        <v>0</v>
      </c>
      <c r="BZ48" s="79"/>
      <c r="CA48" s="79">
        <f t="shared" si="35"/>
        <v>0</v>
      </c>
      <c r="CB48" s="79"/>
      <c r="CC48" s="79">
        <f t="shared" si="35"/>
        <v>0</v>
      </c>
      <c r="CD48" s="79"/>
      <c r="CE48" s="79">
        <f t="shared" si="35"/>
        <v>0</v>
      </c>
      <c r="CF48" s="79"/>
      <c r="CG48" s="79">
        <f t="shared" si="35"/>
        <v>0</v>
      </c>
      <c r="CH48" s="79"/>
      <c r="CI48" s="79">
        <f t="shared" si="35"/>
        <v>0</v>
      </c>
      <c r="CJ48" s="79"/>
      <c r="CK48" s="79">
        <f t="shared" si="35"/>
        <v>0</v>
      </c>
      <c r="CL48" s="79"/>
      <c r="CM48" s="79">
        <f t="shared" si="35"/>
        <v>0</v>
      </c>
      <c r="CN48" s="79"/>
      <c r="CO48" s="79">
        <f t="shared" si="35"/>
        <v>0</v>
      </c>
      <c r="CP48" s="79"/>
      <c r="CQ48" s="79">
        <f t="shared" si="35"/>
        <v>0</v>
      </c>
      <c r="CR48" s="79"/>
      <c r="CS48" s="79">
        <f t="shared" si="35"/>
        <v>0</v>
      </c>
      <c r="CT48" s="79"/>
      <c r="CU48" s="79">
        <f t="shared" si="35"/>
        <v>139957.24116679913</v>
      </c>
      <c r="CV48" s="79"/>
      <c r="CW48" s="79">
        <f t="shared" si="35"/>
        <v>143598.05283136433</v>
      </c>
      <c r="CX48" s="79"/>
      <c r="CY48" s="79">
        <f t="shared" si="35"/>
        <v>154283.51529388927</v>
      </c>
      <c r="CZ48" s="79"/>
      <c r="DA48" s="79">
        <f t="shared" si="35"/>
        <v>0</v>
      </c>
    </row>
    <row r="49" spans="1:105" ht="16.899999999999999" customHeight="1" x14ac:dyDescent="0.2">
      <c r="D49" s="556" t="str">
        <f>D13&amp;" (W2,5)"</f>
        <v>Hogares (W2,5)</v>
      </c>
      <c r="E49" s="551"/>
      <c r="F49" s="551"/>
      <c r="G49" s="551"/>
      <c r="H49" s="551"/>
      <c r="I49" s="551"/>
      <c r="J49" s="551"/>
      <c r="K49" s="551"/>
      <c r="L49" s="805" t="str">
        <f>LEFT(D26,LEN(D26)-16)&amp;" (W2,18)"</f>
        <v>Total de agua dulce disponible para utilización  (W2,18)</v>
      </c>
      <c r="M49" s="806"/>
      <c r="N49" s="807"/>
      <c r="O49" s="551"/>
      <c r="P49" s="551"/>
      <c r="Q49" s="805" t="str">
        <f>LEFT(D28,LEN(D28)-8)&amp;" (W2,20)"</f>
        <v>Utilización de agua dulce total  (W2,20)</v>
      </c>
      <c r="R49" s="806"/>
      <c r="S49" s="807"/>
      <c r="U49" s="812"/>
      <c r="V49" s="812"/>
      <c r="W49" s="551"/>
      <c r="X49" s="551"/>
      <c r="Y49" s="551"/>
      <c r="Z49" s="565"/>
      <c r="AA49" s="819" t="str">
        <f>D30&amp;" (W2,21)"</f>
        <v>Hogares (W2,21)</v>
      </c>
      <c r="AB49" s="825"/>
      <c r="AC49" s="825"/>
      <c r="AD49" s="825"/>
      <c r="AE49" s="825"/>
      <c r="AF49" s="825"/>
      <c r="AG49" s="825"/>
      <c r="AH49" s="826"/>
      <c r="AI49" s="826"/>
      <c r="AJ49" s="827"/>
      <c r="AK49" s="565"/>
      <c r="AL49" s="565"/>
      <c r="AM49" s="565"/>
      <c r="AO49" s="619"/>
      <c r="AP49" s="551"/>
      <c r="AQ49" s="565"/>
      <c r="AR49" s="565"/>
      <c r="AS49" s="565"/>
      <c r="AT49" s="565"/>
      <c r="AU49" s="565"/>
      <c r="AV49" s="565"/>
      <c r="AW49" s="565"/>
      <c r="AX49" s="565"/>
      <c r="AY49" s="565"/>
      <c r="AZ49" s="565"/>
      <c r="BA49" s="565"/>
      <c r="BD49" s="320">
        <v>32</v>
      </c>
      <c r="BE49" s="423" t="s">
        <v>598</v>
      </c>
      <c r="BF49" s="98" t="s">
        <v>462</v>
      </c>
      <c r="BG49" s="82">
        <f>SUM(F12:F14)+SUM(F16:F18)+SUM(F20:F21)</f>
        <v>0</v>
      </c>
      <c r="BH49" s="82"/>
      <c r="BI49" s="82">
        <f t="shared" ref="BI49:DA49" si="36">SUM(H12:H14)+SUM(H16:H18)+SUM(H20:H21)</f>
        <v>0</v>
      </c>
      <c r="BJ49" s="82"/>
      <c r="BK49" s="82">
        <f t="shared" si="36"/>
        <v>0</v>
      </c>
      <c r="BL49" s="82"/>
      <c r="BM49" s="82">
        <f t="shared" si="36"/>
        <v>0</v>
      </c>
      <c r="BN49" s="82"/>
      <c r="BO49" s="82">
        <f t="shared" si="36"/>
        <v>0</v>
      </c>
      <c r="BP49" s="82"/>
      <c r="BQ49" s="82">
        <f t="shared" si="36"/>
        <v>0</v>
      </c>
      <c r="BR49" s="82"/>
      <c r="BS49" s="82">
        <f t="shared" si="36"/>
        <v>0</v>
      </c>
      <c r="BT49" s="82"/>
      <c r="BU49" s="82">
        <f t="shared" si="36"/>
        <v>0</v>
      </c>
      <c r="BV49" s="82"/>
      <c r="BW49" s="82">
        <f t="shared" si="36"/>
        <v>0</v>
      </c>
      <c r="BX49" s="82"/>
      <c r="BY49" s="82">
        <f t="shared" si="36"/>
        <v>0</v>
      </c>
      <c r="BZ49" s="82"/>
      <c r="CA49" s="82">
        <f t="shared" si="36"/>
        <v>0</v>
      </c>
      <c r="CB49" s="82"/>
      <c r="CC49" s="82">
        <f t="shared" si="36"/>
        <v>0</v>
      </c>
      <c r="CD49" s="82"/>
      <c r="CE49" s="82">
        <f t="shared" si="36"/>
        <v>0</v>
      </c>
      <c r="CF49" s="82"/>
      <c r="CG49" s="82">
        <f t="shared" si="36"/>
        <v>0</v>
      </c>
      <c r="CH49" s="82"/>
      <c r="CI49" s="82">
        <f t="shared" si="36"/>
        <v>0</v>
      </c>
      <c r="CJ49" s="82"/>
      <c r="CK49" s="82">
        <f t="shared" si="36"/>
        <v>0</v>
      </c>
      <c r="CL49" s="82"/>
      <c r="CM49" s="82">
        <f t="shared" si="36"/>
        <v>0</v>
      </c>
      <c r="CN49" s="82"/>
      <c r="CO49" s="82">
        <f t="shared" si="36"/>
        <v>0</v>
      </c>
      <c r="CP49" s="82"/>
      <c r="CQ49" s="82">
        <f t="shared" si="36"/>
        <v>0</v>
      </c>
      <c r="CR49" s="82"/>
      <c r="CS49" s="82">
        <f t="shared" si="36"/>
        <v>0</v>
      </c>
      <c r="CT49" s="82"/>
      <c r="CU49" s="82">
        <f t="shared" si="36"/>
        <v>84498.377472791355</v>
      </c>
      <c r="CV49" s="82"/>
      <c r="CW49" s="82">
        <f t="shared" si="36"/>
        <v>88684.32416792764</v>
      </c>
      <c r="CX49" s="82"/>
      <c r="CY49" s="82">
        <f t="shared" si="36"/>
        <v>90824.705481189507</v>
      </c>
      <c r="CZ49" s="82"/>
      <c r="DA49" s="82">
        <f t="shared" si="36"/>
        <v>0</v>
      </c>
    </row>
    <row r="50" spans="1:105" ht="6.6" customHeight="1" x14ac:dyDescent="0.2">
      <c r="A50" s="442"/>
      <c r="D50" s="559"/>
      <c r="E50" s="551"/>
      <c r="F50" s="551"/>
      <c r="G50" s="551"/>
      <c r="H50" s="551"/>
      <c r="I50" s="551"/>
      <c r="J50" s="551"/>
      <c r="K50" s="551"/>
      <c r="L50" s="813"/>
      <c r="M50" s="814"/>
      <c r="N50" s="815"/>
      <c r="O50" s="551"/>
      <c r="P50" s="551"/>
      <c r="Q50" s="813"/>
      <c r="R50" s="814"/>
      <c r="S50" s="815"/>
      <c r="T50" s="551"/>
      <c r="U50" s="551"/>
      <c r="V50" s="551"/>
      <c r="W50" s="551"/>
      <c r="X50" s="551"/>
      <c r="Y50" s="551"/>
      <c r="Z50" s="554"/>
      <c r="AK50" s="565"/>
      <c r="AL50" s="565"/>
      <c r="AM50" s="565"/>
      <c r="AN50" s="618"/>
      <c r="AO50" s="619"/>
      <c r="AP50" s="551"/>
      <c r="AQ50" s="554"/>
      <c r="AR50" s="554"/>
      <c r="AS50" s="554"/>
      <c r="AT50" s="554"/>
      <c r="AU50" s="554"/>
      <c r="AV50" s="554"/>
      <c r="AW50" s="554"/>
      <c r="AX50" s="554"/>
      <c r="AY50" s="554"/>
      <c r="AZ50" s="554"/>
      <c r="BA50" s="554"/>
      <c r="BD50" s="308" t="s">
        <v>139</v>
      </c>
      <c r="BE50" s="423" t="s">
        <v>599</v>
      </c>
      <c r="BF50" s="98"/>
      <c r="BG50" s="79" t="str">
        <f>IF(OR(ISBLANK(F10),ISBLANK(F12),ISBLANK(F13),ISBLANK(F14),ISBLANK(F16),ISBLANK(F17),ISBLANK(F18),ISBLANK(F20),ISBLANK(F21)),"N/A", IF(BG48=BG49,"ok","&lt;&gt;"))</f>
        <v>N/A</v>
      </c>
      <c r="BH50" s="79"/>
      <c r="BI50" s="79" t="str">
        <f t="shared" ref="BI50:DA50" si="37">IF(OR(ISBLANK(H10),ISBLANK(H12),ISBLANK(H13),ISBLANK(H14),ISBLANK(H16),ISBLANK(H17),ISBLANK(H18),ISBLANK(H20),ISBLANK(H21)),"N/A", IF(BI48=BI49,"ok","&lt;&gt;"))</f>
        <v>N/A</v>
      </c>
      <c r="BJ50" s="79"/>
      <c r="BK50" s="79" t="str">
        <f t="shared" si="37"/>
        <v>N/A</v>
      </c>
      <c r="BL50" s="79"/>
      <c r="BM50" s="79" t="str">
        <f t="shared" si="37"/>
        <v>N/A</v>
      </c>
      <c r="BN50" s="79"/>
      <c r="BO50" s="79" t="str">
        <f t="shared" si="37"/>
        <v>N/A</v>
      </c>
      <c r="BP50" s="79"/>
      <c r="BQ50" s="79" t="str">
        <f t="shared" si="37"/>
        <v>N/A</v>
      </c>
      <c r="BR50" s="79"/>
      <c r="BS50" s="79" t="str">
        <f t="shared" si="37"/>
        <v>N/A</v>
      </c>
      <c r="BT50" s="79"/>
      <c r="BU50" s="79" t="str">
        <f t="shared" si="37"/>
        <v>N/A</v>
      </c>
      <c r="BV50" s="79"/>
      <c r="BW50" s="79" t="str">
        <f t="shared" si="37"/>
        <v>N/A</v>
      </c>
      <c r="BX50" s="79"/>
      <c r="BY50" s="79" t="str">
        <f t="shared" si="37"/>
        <v>N/A</v>
      </c>
      <c r="BZ50" s="79"/>
      <c r="CA50" s="79" t="str">
        <f t="shared" si="37"/>
        <v>N/A</v>
      </c>
      <c r="CB50" s="79"/>
      <c r="CC50" s="79" t="str">
        <f t="shared" si="37"/>
        <v>N/A</v>
      </c>
      <c r="CD50" s="79"/>
      <c r="CE50" s="79" t="str">
        <f t="shared" si="37"/>
        <v>N/A</v>
      </c>
      <c r="CF50" s="79"/>
      <c r="CG50" s="79" t="str">
        <f t="shared" si="37"/>
        <v>N/A</v>
      </c>
      <c r="CH50" s="79"/>
      <c r="CI50" s="79" t="str">
        <f t="shared" si="37"/>
        <v>N/A</v>
      </c>
      <c r="CJ50" s="79"/>
      <c r="CK50" s="79" t="str">
        <f t="shared" si="37"/>
        <v>N/A</v>
      </c>
      <c r="CL50" s="79"/>
      <c r="CM50" s="79" t="str">
        <f t="shared" si="37"/>
        <v>N/A</v>
      </c>
      <c r="CN50" s="79"/>
      <c r="CO50" s="79" t="str">
        <f t="shared" si="37"/>
        <v>N/A</v>
      </c>
      <c r="CP50" s="79"/>
      <c r="CQ50" s="79" t="str">
        <f t="shared" si="37"/>
        <v>N/A</v>
      </c>
      <c r="CR50" s="79"/>
      <c r="CS50" s="79" t="str">
        <f t="shared" si="37"/>
        <v>N/A</v>
      </c>
      <c r="CT50" s="79"/>
      <c r="CU50" s="79" t="str">
        <f t="shared" si="37"/>
        <v>N/A</v>
      </c>
      <c r="CV50" s="79"/>
      <c r="CW50" s="79" t="str">
        <f t="shared" si="37"/>
        <v>N/A</v>
      </c>
      <c r="CX50" s="79"/>
      <c r="CY50" s="79" t="str">
        <f t="shared" si="37"/>
        <v>N/A</v>
      </c>
      <c r="CZ50" s="79"/>
      <c r="DA50" s="79" t="str">
        <f t="shared" si="37"/>
        <v>N/A</v>
      </c>
    </row>
    <row r="51" spans="1:105" ht="23.25" customHeight="1" x14ac:dyDescent="0.2">
      <c r="A51" s="431"/>
      <c r="D51" s="556" t="str">
        <f>D14&amp;" (W2,6)"</f>
        <v>Agricultura, ganadería, silvicultura y pesca (CIIU 01-03) (W2,6)</v>
      </c>
      <c r="E51" s="551"/>
      <c r="F51" s="816" t="str">
        <f>D23&amp;" (W2,15)"</f>
        <v>Agua reutilizada (W2,15)</v>
      </c>
      <c r="G51" s="817"/>
      <c r="H51" s="818"/>
      <c r="I51" s="551"/>
      <c r="J51" s="551"/>
      <c r="K51" s="551"/>
      <c r="L51" s="813"/>
      <c r="M51" s="814"/>
      <c r="N51" s="815"/>
      <c r="O51" s="551"/>
      <c r="P51" s="551"/>
      <c r="Q51" s="813"/>
      <c r="R51" s="814"/>
      <c r="S51" s="815"/>
      <c r="T51" s="551"/>
      <c r="U51" s="551"/>
      <c r="V51" s="551"/>
      <c r="W51" s="551"/>
      <c r="X51" s="551"/>
      <c r="Y51" s="551"/>
      <c r="Z51" s="312"/>
      <c r="AA51" s="824" t="str">
        <f>D31&amp;" (W2,22)"</f>
        <v>Agricultura, ganadería, silvicultura y pesca (CIIU 01-03) (W2,22)</v>
      </c>
      <c r="AB51" s="817"/>
      <c r="AC51" s="817"/>
      <c r="AD51" s="817"/>
      <c r="AE51" s="817"/>
      <c r="AF51" s="817"/>
      <c r="AG51" s="817"/>
      <c r="AH51" s="820"/>
      <c r="AI51" s="820"/>
      <c r="AJ51" s="821"/>
      <c r="AK51" s="565"/>
      <c r="AL51" s="565"/>
      <c r="AM51" s="565"/>
      <c r="AN51" s="560"/>
      <c r="AO51" s="561"/>
      <c r="AP51" s="551"/>
      <c r="AQ51" s="312"/>
      <c r="AR51" s="312"/>
      <c r="AS51" s="312"/>
      <c r="AT51" s="312"/>
      <c r="AU51" s="312"/>
      <c r="AV51" s="312"/>
      <c r="AW51" s="312"/>
      <c r="AX51" s="312"/>
      <c r="AY51" s="312"/>
      <c r="AZ51" s="312"/>
      <c r="BA51" s="565"/>
      <c r="BD51" s="402">
        <v>20</v>
      </c>
      <c r="BE51" s="564" t="s">
        <v>589</v>
      </c>
      <c r="BF51" s="98" t="s">
        <v>462</v>
      </c>
      <c r="BG51" s="82">
        <f>F28</f>
        <v>0</v>
      </c>
      <c r="BH51" s="82"/>
      <c r="BI51" s="82">
        <f t="shared" ref="BI51:DA51" si="38">H28</f>
        <v>0</v>
      </c>
      <c r="BJ51" s="82"/>
      <c r="BK51" s="82">
        <f t="shared" si="38"/>
        <v>0</v>
      </c>
      <c r="BL51" s="82"/>
      <c r="BM51" s="82">
        <f t="shared" si="38"/>
        <v>0</v>
      </c>
      <c r="BN51" s="82"/>
      <c r="BO51" s="82">
        <f t="shared" si="38"/>
        <v>0</v>
      </c>
      <c r="BP51" s="82"/>
      <c r="BQ51" s="82">
        <f t="shared" si="38"/>
        <v>0</v>
      </c>
      <c r="BR51" s="82"/>
      <c r="BS51" s="82">
        <f t="shared" si="38"/>
        <v>0</v>
      </c>
      <c r="BT51" s="82"/>
      <c r="BU51" s="82">
        <f t="shared" si="38"/>
        <v>0</v>
      </c>
      <c r="BV51" s="82"/>
      <c r="BW51" s="82">
        <f t="shared" si="38"/>
        <v>0</v>
      </c>
      <c r="BX51" s="82"/>
      <c r="BY51" s="82">
        <f t="shared" si="38"/>
        <v>0</v>
      </c>
      <c r="BZ51" s="82"/>
      <c r="CA51" s="82">
        <f t="shared" si="38"/>
        <v>0</v>
      </c>
      <c r="CB51" s="82"/>
      <c r="CC51" s="82">
        <f t="shared" si="38"/>
        <v>0</v>
      </c>
      <c r="CD51" s="82"/>
      <c r="CE51" s="82">
        <f t="shared" si="38"/>
        <v>0</v>
      </c>
      <c r="CF51" s="82"/>
      <c r="CG51" s="82">
        <f t="shared" si="38"/>
        <v>0</v>
      </c>
      <c r="CH51" s="82"/>
      <c r="CI51" s="82">
        <f t="shared" si="38"/>
        <v>0</v>
      </c>
      <c r="CJ51" s="82"/>
      <c r="CK51" s="82">
        <f t="shared" si="38"/>
        <v>0</v>
      </c>
      <c r="CL51" s="82"/>
      <c r="CM51" s="82">
        <f t="shared" si="38"/>
        <v>0</v>
      </c>
      <c r="CN51" s="82"/>
      <c r="CO51" s="82">
        <f t="shared" si="38"/>
        <v>0</v>
      </c>
      <c r="CP51" s="82"/>
      <c r="CQ51" s="82">
        <f t="shared" si="38"/>
        <v>0</v>
      </c>
      <c r="CR51" s="82"/>
      <c r="CS51" s="82">
        <f t="shared" si="38"/>
        <v>0</v>
      </c>
      <c r="CT51" s="82"/>
      <c r="CU51" s="82">
        <f t="shared" si="38"/>
        <v>122773.8389880441</v>
      </c>
      <c r="CV51" s="82"/>
      <c r="CW51" s="82">
        <f t="shared" si="38"/>
        <v>125506.1328915726</v>
      </c>
      <c r="CX51" s="82"/>
      <c r="CY51" s="82">
        <f t="shared" si="38"/>
        <v>135697.70541471575</v>
      </c>
      <c r="CZ51" s="82"/>
      <c r="DA51" s="82">
        <f t="shared" si="38"/>
        <v>0</v>
      </c>
    </row>
    <row r="52" spans="1:105" ht="6.6" customHeight="1" x14ac:dyDescent="0.2">
      <c r="A52" s="431"/>
      <c r="D52" s="562"/>
      <c r="E52" s="551"/>
      <c r="F52" s="551"/>
      <c r="G52" s="551"/>
      <c r="H52" s="551"/>
      <c r="I52" s="551"/>
      <c r="J52" s="551"/>
      <c r="K52" s="551"/>
      <c r="L52" s="813"/>
      <c r="M52" s="814"/>
      <c r="N52" s="815"/>
      <c r="O52" s="551"/>
      <c r="P52" s="551"/>
      <c r="Q52" s="813"/>
      <c r="R52" s="814"/>
      <c r="S52" s="815"/>
      <c r="T52" s="551"/>
      <c r="U52" s="551"/>
      <c r="V52" s="551"/>
      <c r="W52" s="551"/>
      <c r="X52" s="551"/>
      <c r="Y52" s="551"/>
      <c r="Z52" s="554"/>
      <c r="AA52" s="551"/>
      <c r="AB52" s="551"/>
      <c r="AC52" s="551"/>
      <c r="AD52" s="551"/>
      <c r="AE52" s="551"/>
      <c r="AF52" s="551"/>
      <c r="AG52" s="551"/>
      <c r="AH52" s="551"/>
      <c r="AI52" s="551"/>
      <c r="AJ52" s="551"/>
      <c r="AK52" s="565"/>
      <c r="AL52" s="565"/>
      <c r="AM52" s="565"/>
      <c r="AN52" s="551"/>
      <c r="AO52" s="551"/>
      <c r="AP52" s="551"/>
      <c r="AQ52" s="554"/>
      <c r="AR52" s="554"/>
      <c r="AS52" s="554"/>
      <c r="AT52" s="554"/>
      <c r="AU52" s="554"/>
      <c r="AV52" s="554"/>
      <c r="AW52" s="554"/>
      <c r="AX52" s="554"/>
      <c r="AY52" s="554"/>
      <c r="AZ52" s="554"/>
      <c r="BA52" s="554"/>
      <c r="BC52" s="342"/>
      <c r="BD52" s="320">
        <v>33</v>
      </c>
      <c r="BE52" s="423" t="s">
        <v>600</v>
      </c>
      <c r="BF52" s="98" t="s">
        <v>462</v>
      </c>
      <c r="BG52" s="79">
        <f>F26-F27</f>
        <v>0</v>
      </c>
      <c r="BH52" s="79"/>
      <c r="BI52" s="79">
        <f t="shared" ref="BI52:DA52" si="39">H26-H27</f>
        <v>0</v>
      </c>
      <c r="BJ52" s="79"/>
      <c r="BK52" s="79">
        <f t="shared" si="39"/>
        <v>0</v>
      </c>
      <c r="BL52" s="79"/>
      <c r="BM52" s="79">
        <f t="shared" si="39"/>
        <v>0</v>
      </c>
      <c r="BN52" s="79"/>
      <c r="BO52" s="79">
        <f t="shared" si="39"/>
        <v>0</v>
      </c>
      <c r="BP52" s="79"/>
      <c r="BQ52" s="79">
        <f t="shared" si="39"/>
        <v>0</v>
      </c>
      <c r="BR52" s="79"/>
      <c r="BS52" s="79">
        <f t="shared" si="39"/>
        <v>0</v>
      </c>
      <c r="BT52" s="79"/>
      <c r="BU52" s="79">
        <f t="shared" si="39"/>
        <v>0</v>
      </c>
      <c r="BV52" s="79"/>
      <c r="BW52" s="79">
        <f t="shared" si="39"/>
        <v>0</v>
      </c>
      <c r="BX52" s="79"/>
      <c r="BY52" s="79">
        <f t="shared" si="39"/>
        <v>0</v>
      </c>
      <c r="BZ52" s="79"/>
      <c r="CA52" s="79">
        <f t="shared" si="39"/>
        <v>0</v>
      </c>
      <c r="CB52" s="79"/>
      <c r="CC52" s="79">
        <f t="shared" si="39"/>
        <v>0</v>
      </c>
      <c r="CD52" s="79"/>
      <c r="CE52" s="79">
        <f t="shared" si="39"/>
        <v>0</v>
      </c>
      <c r="CF52" s="79"/>
      <c r="CG52" s="79">
        <f t="shared" si="39"/>
        <v>0</v>
      </c>
      <c r="CH52" s="79"/>
      <c r="CI52" s="79">
        <f t="shared" si="39"/>
        <v>0</v>
      </c>
      <c r="CJ52" s="79"/>
      <c r="CK52" s="79">
        <f t="shared" si="39"/>
        <v>0</v>
      </c>
      <c r="CL52" s="79"/>
      <c r="CM52" s="79">
        <f t="shared" si="39"/>
        <v>0</v>
      </c>
      <c r="CN52" s="79"/>
      <c r="CO52" s="79">
        <f t="shared" si="39"/>
        <v>0</v>
      </c>
      <c r="CP52" s="79"/>
      <c r="CQ52" s="79">
        <f t="shared" si="39"/>
        <v>0</v>
      </c>
      <c r="CR52" s="79"/>
      <c r="CS52" s="79">
        <f t="shared" si="39"/>
        <v>0</v>
      </c>
      <c r="CT52" s="79"/>
      <c r="CU52" s="79">
        <f t="shared" si="39"/>
        <v>122773.8389880441</v>
      </c>
      <c r="CV52" s="79"/>
      <c r="CW52" s="79">
        <f t="shared" si="39"/>
        <v>125506.1328915726</v>
      </c>
      <c r="CX52" s="79"/>
      <c r="CY52" s="79">
        <f t="shared" si="39"/>
        <v>135697.70541471575</v>
      </c>
      <c r="CZ52" s="79"/>
      <c r="DA52" s="79">
        <f t="shared" si="39"/>
        <v>0</v>
      </c>
    </row>
    <row r="53" spans="1:105" ht="20.100000000000001" customHeight="1" x14ac:dyDescent="0.2">
      <c r="A53" s="431"/>
      <c r="D53" s="556" t="str">
        <f>D16&amp;" (W2,8)"</f>
        <v>Explotación de minas y canteras (CIIU 05-09) (W2,8)</v>
      </c>
      <c r="E53" s="551"/>
      <c r="F53" s="551"/>
      <c r="G53" s="551"/>
      <c r="H53" s="551"/>
      <c r="I53" s="551"/>
      <c r="J53" s="551"/>
      <c r="K53" s="551"/>
      <c r="L53" s="813"/>
      <c r="M53" s="814"/>
      <c r="N53" s="815"/>
      <c r="O53" s="551"/>
      <c r="P53" s="551"/>
      <c r="Q53" s="813"/>
      <c r="R53" s="814"/>
      <c r="S53" s="815"/>
      <c r="T53" s="551"/>
      <c r="U53" s="551"/>
      <c r="V53" s="551"/>
      <c r="W53" s="551"/>
      <c r="X53" s="551"/>
      <c r="Y53" s="551"/>
      <c r="Z53" s="554"/>
      <c r="AA53" s="824" t="str">
        <f>D33&amp;" (W2,24)"</f>
        <v>Explotación de minas y canteras (CIIU 05-09) (W2,24)</v>
      </c>
      <c r="AB53" s="817"/>
      <c r="AC53" s="817"/>
      <c r="AD53" s="817"/>
      <c r="AE53" s="817"/>
      <c r="AF53" s="817"/>
      <c r="AG53" s="817"/>
      <c r="AH53" s="820"/>
      <c r="AI53" s="820"/>
      <c r="AJ53" s="821"/>
      <c r="AK53" s="554"/>
      <c r="AL53" s="554"/>
      <c r="AM53" s="554"/>
      <c r="AN53" s="551"/>
      <c r="AO53" s="551"/>
      <c r="AP53" s="551"/>
      <c r="AQ53" s="312"/>
      <c r="AR53" s="312"/>
      <c r="AS53" s="312"/>
      <c r="AT53" s="312"/>
      <c r="AU53" s="312"/>
      <c r="AV53" s="312"/>
      <c r="AW53" s="312"/>
      <c r="AX53" s="312"/>
      <c r="AY53" s="312"/>
      <c r="AZ53" s="312"/>
      <c r="BA53" s="565"/>
      <c r="BC53" s="342"/>
      <c r="BD53" s="337" t="s">
        <v>139</v>
      </c>
      <c r="BE53" s="433" t="s">
        <v>601</v>
      </c>
      <c r="BF53" s="434"/>
      <c r="BG53" s="80" t="str">
        <f>IF(OR(ISBLANK(F26),ISBLANK(F27),ISBLANK(F28)),"N/A", IF(BG51=BG52,"ok","&lt;&gt;"))</f>
        <v>N/A</v>
      </c>
      <c r="BH53" s="80"/>
      <c r="BI53" s="80" t="str">
        <f t="shared" ref="BI53:DA53" si="40">IF(OR(ISBLANK(H26),ISBLANK(H27),ISBLANK(H28)),"N/A", IF(BI51=BI52,"ok","&lt;&gt;"))</f>
        <v>N/A</v>
      </c>
      <c r="BJ53" s="80"/>
      <c r="BK53" s="80" t="str">
        <f t="shared" si="40"/>
        <v>N/A</v>
      </c>
      <c r="BL53" s="80"/>
      <c r="BM53" s="80" t="str">
        <f t="shared" si="40"/>
        <v>N/A</v>
      </c>
      <c r="BN53" s="80"/>
      <c r="BO53" s="80" t="str">
        <f t="shared" si="40"/>
        <v>N/A</v>
      </c>
      <c r="BP53" s="80"/>
      <c r="BQ53" s="80" t="str">
        <f t="shared" si="40"/>
        <v>N/A</v>
      </c>
      <c r="BR53" s="80"/>
      <c r="BS53" s="80" t="str">
        <f t="shared" si="40"/>
        <v>N/A</v>
      </c>
      <c r="BT53" s="80"/>
      <c r="BU53" s="80" t="str">
        <f t="shared" si="40"/>
        <v>N/A</v>
      </c>
      <c r="BV53" s="80"/>
      <c r="BW53" s="80" t="str">
        <f t="shared" si="40"/>
        <v>N/A</v>
      </c>
      <c r="BX53" s="80"/>
      <c r="BY53" s="80" t="str">
        <f t="shared" si="40"/>
        <v>N/A</v>
      </c>
      <c r="BZ53" s="80"/>
      <c r="CA53" s="80" t="str">
        <f t="shared" si="40"/>
        <v>N/A</v>
      </c>
      <c r="CB53" s="80"/>
      <c r="CC53" s="80" t="str">
        <f t="shared" si="40"/>
        <v>N/A</v>
      </c>
      <c r="CD53" s="80"/>
      <c r="CE53" s="80" t="str">
        <f t="shared" si="40"/>
        <v>N/A</v>
      </c>
      <c r="CF53" s="80"/>
      <c r="CG53" s="80" t="str">
        <f t="shared" si="40"/>
        <v>N/A</v>
      </c>
      <c r="CH53" s="80"/>
      <c r="CI53" s="80" t="str">
        <f t="shared" si="40"/>
        <v>N/A</v>
      </c>
      <c r="CJ53" s="80"/>
      <c r="CK53" s="80" t="str">
        <f t="shared" si="40"/>
        <v>N/A</v>
      </c>
      <c r="CL53" s="80"/>
      <c r="CM53" s="80" t="str">
        <f t="shared" si="40"/>
        <v>N/A</v>
      </c>
      <c r="CN53" s="80"/>
      <c r="CO53" s="80" t="str">
        <f t="shared" si="40"/>
        <v>N/A</v>
      </c>
      <c r="CP53" s="80"/>
      <c r="CQ53" s="80" t="str">
        <f t="shared" si="40"/>
        <v>N/A</v>
      </c>
      <c r="CR53" s="80"/>
      <c r="CS53" s="80" t="str">
        <f t="shared" si="40"/>
        <v>N/A</v>
      </c>
      <c r="CT53" s="80"/>
      <c r="CU53" s="80" t="str">
        <f t="shared" si="40"/>
        <v>ok</v>
      </c>
      <c r="CV53" s="80"/>
      <c r="CW53" s="80" t="str">
        <f t="shared" si="40"/>
        <v>ok</v>
      </c>
      <c r="CX53" s="80"/>
      <c r="CY53" s="80" t="str">
        <f t="shared" si="40"/>
        <v>ok</v>
      </c>
      <c r="CZ53" s="80"/>
      <c r="DA53" s="80" t="str">
        <f t="shared" si="40"/>
        <v>N/A</v>
      </c>
    </row>
    <row r="54" spans="1:105" ht="6.6" customHeight="1" x14ac:dyDescent="0.2">
      <c r="A54" s="431"/>
      <c r="B54" s="550"/>
      <c r="D54" s="562"/>
      <c r="E54" s="551"/>
      <c r="F54" s="551"/>
      <c r="G54" s="551"/>
      <c r="H54" s="551"/>
      <c r="I54" s="551"/>
      <c r="J54" s="551"/>
      <c r="K54" s="551"/>
      <c r="L54" s="813"/>
      <c r="M54" s="814"/>
      <c r="N54" s="815"/>
      <c r="O54" s="551"/>
      <c r="P54" s="551"/>
      <c r="Q54" s="813"/>
      <c r="R54" s="814"/>
      <c r="S54" s="815"/>
      <c r="T54" s="551"/>
      <c r="U54" s="551"/>
      <c r="V54" s="551"/>
      <c r="W54" s="551"/>
      <c r="X54" s="551"/>
      <c r="Y54" s="551"/>
      <c r="Z54" s="554"/>
      <c r="AK54" s="554"/>
      <c r="AL54" s="554"/>
      <c r="AM54" s="554"/>
      <c r="AN54" s="551"/>
      <c r="AO54" s="551"/>
      <c r="AP54" s="551"/>
      <c r="AQ54" s="554"/>
      <c r="AR54" s="554"/>
      <c r="AS54" s="554"/>
      <c r="AT54" s="554"/>
      <c r="AU54" s="554"/>
      <c r="AV54" s="554"/>
      <c r="AW54" s="554"/>
      <c r="AX54" s="554"/>
      <c r="AY54" s="554"/>
      <c r="AZ54" s="554"/>
      <c r="BA54" s="554"/>
      <c r="BD54" s="339" t="s">
        <v>447</v>
      </c>
      <c r="BE54" s="340" t="s">
        <v>448</v>
      </c>
      <c r="BF54" s="97"/>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1:105" ht="20.100000000000001" customHeight="1" x14ac:dyDescent="0.2">
      <c r="A55" s="431"/>
      <c r="B55" s="550"/>
      <c r="D55" s="556" t="str">
        <f>D17&amp;" (W2,9)"</f>
        <v>Industrias manufactureras (CIIU 10-33) (W2,9)</v>
      </c>
      <c r="E55" s="551"/>
      <c r="F55" s="551"/>
      <c r="G55" s="551"/>
      <c r="H55" s="551"/>
      <c r="I55" s="551"/>
      <c r="J55" s="551"/>
      <c r="K55" s="551"/>
      <c r="L55" s="813"/>
      <c r="M55" s="814"/>
      <c r="N55" s="815"/>
      <c r="O55" s="551"/>
      <c r="P55" s="551"/>
      <c r="Q55" s="813"/>
      <c r="R55" s="814"/>
      <c r="S55" s="815"/>
      <c r="T55" s="551"/>
      <c r="U55" s="551"/>
      <c r="V55" s="551"/>
      <c r="W55" s="551"/>
      <c r="X55" s="551"/>
      <c r="Y55" s="551"/>
      <c r="Z55" s="554"/>
      <c r="AA55" s="819" t="str">
        <f>D34&amp;" (W2,25)"</f>
        <v>Industrias manufactureras (CIIU 10-33) (W2,25)</v>
      </c>
      <c r="AB55" s="822"/>
      <c r="AC55" s="822"/>
      <c r="AD55" s="822"/>
      <c r="AE55" s="822"/>
      <c r="AF55" s="822"/>
      <c r="AG55" s="822"/>
      <c r="AH55" s="822"/>
      <c r="AI55" s="822"/>
      <c r="AJ55" s="823"/>
      <c r="AK55" s="312"/>
      <c r="AL55" s="312"/>
      <c r="AM55" s="554"/>
      <c r="AN55" s="551"/>
      <c r="AO55" s="551"/>
      <c r="AP55" s="551"/>
      <c r="AQ55" s="312"/>
      <c r="AR55" s="312"/>
      <c r="AS55" s="312"/>
      <c r="AT55" s="312"/>
      <c r="AU55" s="312"/>
      <c r="AV55" s="312"/>
      <c r="AW55" s="312"/>
      <c r="AX55" s="312"/>
      <c r="AY55" s="312"/>
      <c r="AZ55" s="312"/>
      <c r="BA55" s="565"/>
      <c r="BD55" s="339" t="s">
        <v>449</v>
      </c>
      <c r="BE55" s="340" t="s">
        <v>450</v>
      </c>
      <c r="BF55" s="97"/>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1:105" ht="6.6" customHeight="1" x14ac:dyDescent="0.2">
      <c r="A56" s="431"/>
      <c r="B56" s="550"/>
      <c r="D56" s="562"/>
      <c r="E56" s="551"/>
      <c r="F56" s="551"/>
      <c r="G56" s="551"/>
      <c r="H56" s="551"/>
      <c r="I56" s="551"/>
      <c r="J56" s="551"/>
      <c r="K56" s="551"/>
      <c r="L56" s="813"/>
      <c r="M56" s="814"/>
      <c r="N56" s="815"/>
      <c r="O56" s="551"/>
      <c r="P56" s="551"/>
      <c r="Q56" s="813"/>
      <c r="R56" s="814"/>
      <c r="S56" s="815"/>
      <c r="T56" s="551"/>
      <c r="U56" s="551"/>
      <c r="V56" s="551"/>
      <c r="W56" s="551"/>
      <c r="X56" s="551"/>
      <c r="Y56" s="551"/>
      <c r="Z56" s="554"/>
      <c r="AA56" s="554"/>
      <c r="AB56" s="554"/>
      <c r="AC56" s="554"/>
      <c r="AD56" s="554"/>
      <c r="AE56" s="554"/>
      <c r="AF56" s="554"/>
      <c r="AG56" s="554"/>
      <c r="AH56" s="554"/>
      <c r="AI56" s="554"/>
      <c r="AJ56" s="554"/>
      <c r="AK56" s="312"/>
      <c r="AL56" s="312"/>
      <c r="AM56" s="554"/>
      <c r="AN56" s="551"/>
      <c r="AO56" s="551"/>
      <c r="AP56" s="551"/>
      <c r="AQ56" s="551"/>
      <c r="AR56" s="551"/>
      <c r="AS56" s="551"/>
      <c r="AT56" s="551"/>
      <c r="AU56" s="551"/>
      <c r="AV56" s="551"/>
      <c r="AW56" s="551"/>
      <c r="AX56" s="551"/>
      <c r="AY56" s="551"/>
      <c r="AZ56" s="551"/>
      <c r="BA56" s="551"/>
      <c r="BD56" s="341" t="s">
        <v>452</v>
      </c>
      <c r="BE56" s="340" t="s">
        <v>454</v>
      </c>
      <c r="BF56" s="97"/>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1:105" ht="20.25" customHeight="1" x14ac:dyDescent="0.2">
      <c r="A57" s="431"/>
      <c r="B57" s="550"/>
      <c r="D57" s="556" t="str">
        <f>D18&amp;" (W2,10)"</f>
        <v>Suministro de electricidad, gas, vapor y aire acondicionado (CIIU 35) (W2,10)</v>
      </c>
      <c r="E57" s="551"/>
      <c r="F57" s="551"/>
      <c r="G57" s="551"/>
      <c r="H57" s="551"/>
      <c r="I57" s="551"/>
      <c r="J57" s="551"/>
      <c r="K57" s="551"/>
      <c r="L57" s="808"/>
      <c r="M57" s="809"/>
      <c r="N57" s="810"/>
      <c r="O57" s="551"/>
      <c r="P57" s="551"/>
      <c r="Q57" s="808"/>
      <c r="R57" s="809"/>
      <c r="S57" s="810"/>
      <c r="T57" s="551"/>
      <c r="U57" s="551"/>
      <c r="V57" s="551"/>
      <c r="W57" s="551"/>
      <c r="X57" s="555"/>
      <c r="Y57" s="312"/>
      <c r="Z57" s="312"/>
      <c r="AA57" s="819" t="str">
        <f>D35&amp;" (W2,26)"</f>
        <v>Suministro de electricidad, gas, vapor y aire acondicionado (CIIU 35) (W2,26)</v>
      </c>
      <c r="AB57" s="822"/>
      <c r="AC57" s="822"/>
      <c r="AD57" s="822"/>
      <c r="AE57" s="822"/>
      <c r="AF57" s="822"/>
      <c r="AG57" s="822"/>
      <c r="AH57" s="822"/>
      <c r="AI57" s="822"/>
      <c r="AJ57" s="823"/>
      <c r="AK57" s="312"/>
      <c r="AL57" s="312"/>
      <c r="AM57" s="554"/>
      <c r="AN57" s="551"/>
      <c r="AO57" s="551"/>
      <c r="AP57" s="551"/>
      <c r="AQ57" s="551"/>
      <c r="AR57" s="551"/>
      <c r="AS57" s="551"/>
      <c r="AT57" s="551"/>
      <c r="AU57" s="551"/>
      <c r="AV57" s="551"/>
      <c r="AW57" s="551"/>
      <c r="AX57" s="551"/>
      <c r="AY57" s="551"/>
      <c r="AZ57" s="551"/>
      <c r="BA57" s="551"/>
      <c r="BD57" s="341" t="s">
        <v>451</v>
      </c>
      <c r="BE57" s="340" t="s">
        <v>386</v>
      </c>
      <c r="BF57" s="97"/>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1:105" ht="6.6" customHeight="1" x14ac:dyDescent="0.2">
      <c r="A58" s="431"/>
      <c r="B58" s="550"/>
      <c r="D58" s="562"/>
      <c r="E58" s="551"/>
      <c r="F58" s="805" t="str">
        <f>D24&amp;" - "&amp;D25&amp;"  =(W2,16) - (W2,17)"</f>
        <v>Importaciones de agua - Exportaciones de agua  =(W2,16) - (W2,17)</v>
      </c>
      <c r="G58" s="806"/>
      <c r="H58" s="807"/>
      <c r="I58" s="551"/>
      <c r="J58" s="551"/>
      <c r="K58" s="551"/>
      <c r="L58" s="551"/>
      <c r="M58" s="551"/>
      <c r="N58" s="551"/>
      <c r="O58" s="551"/>
      <c r="P58" s="551"/>
      <c r="Q58" s="551"/>
      <c r="R58" s="551"/>
      <c r="S58" s="551"/>
      <c r="T58" s="551"/>
      <c r="U58" s="551"/>
      <c r="V58" s="551"/>
      <c r="W58" s="551"/>
      <c r="X58" s="555"/>
      <c r="Y58" s="312"/>
      <c r="Z58" s="632"/>
      <c r="AB58" s="837"/>
      <c r="AC58" s="837"/>
      <c r="AD58" s="837"/>
      <c r="AE58" s="837"/>
      <c r="AF58" s="837"/>
      <c r="AG58" s="837"/>
      <c r="AH58" s="837"/>
      <c r="AI58" s="837"/>
      <c r="AJ58" s="837"/>
      <c r="AK58" s="312"/>
      <c r="AL58" s="312"/>
      <c r="AM58" s="554"/>
      <c r="AN58" s="551"/>
      <c r="AO58" s="551"/>
      <c r="AP58" s="551"/>
      <c r="AQ58" s="551"/>
      <c r="AR58" s="551"/>
      <c r="AS58" s="551"/>
      <c r="AT58" s="551"/>
      <c r="AU58" s="551"/>
      <c r="AV58" s="551"/>
      <c r="AW58" s="551"/>
      <c r="AX58" s="551"/>
      <c r="AY58" s="551"/>
      <c r="AZ58" s="551"/>
      <c r="BA58" s="551"/>
      <c r="BD58" s="339" t="s">
        <v>447</v>
      </c>
      <c r="BE58" s="340" t="s">
        <v>448</v>
      </c>
      <c r="BF58" s="97"/>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row>
    <row r="59" spans="1:105" ht="15.6" customHeight="1" x14ac:dyDescent="0.2">
      <c r="A59" s="431"/>
      <c r="B59" s="550"/>
      <c r="D59" s="556" t="str">
        <f>D20&amp;" (W2,12)"</f>
        <v>Construcción (CIIU 41-43) (W2,12)</v>
      </c>
      <c r="E59" s="551"/>
      <c r="F59" s="813"/>
      <c r="G59" s="814"/>
      <c r="H59" s="815"/>
      <c r="I59" s="551"/>
      <c r="J59" s="551"/>
      <c r="K59" s="551"/>
      <c r="L59" s="551"/>
      <c r="M59" s="551"/>
      <c r="N59" s="805" t="str">
        <f>D27&amp;" (W2,19)"</f>
        <v>Pérdidas durante el transporte  (W2,19)</v>
      </c>
      <c r="O59" s="806"/>
      <c r="P59" s="807"/>
      <c r="Q59" s="551"/>
      <c r="R59" s="551"/>
      <c r="S59" s="551"/>
      <c r="T59" s="551"/>
      <c r="U59" s="551"/>
      <c r="V59" s="551"/>
      <c r="W59" s="551"/>
      <c r="X59" s="555"/>
      <c r="Y59" s="312"/>
      <c r="Z59" s="632"/>
      <c r="AA59" s="819" t="str">
        <f>D37&amp;" (W2,28)"</f>
        <v>Construcción (CIIU 41-43) (W2,28)</v>
      </c>
      <c r="AB59" s="822"/>
      <c r="AC59" s="822"/>
      <c r="AD59" s="822"/>
      <c r="AE59" s="822"/>
      <c r="AF59" s="822"/>
      <c r="AG59" s="822"/>
      <c r="AH59" s="822"/>
      <c r="AI59" s="822"/>
      <c r="AJ59" s="823"/>
      <c r="AK59" s="312"/>
      <c r="AL59" s="312"/>
      <c r="AM59" s="554"/>
      <c r="AN59" s="551"/>
      <c r="AO59" s="551"/>
      <c r="AP59" s="551"/>
      <c r="AQ59" s="551"/>
      <c r="AR59" s="551"/>
      <c r="AS59" s="551"/>
      <c r="AT59" s="551"/>
      <c r="AU59" s="551"/>
      <c r="AV59" s="551"/>
      <c r="AW59" s="551"/>
      <c r="AX59" s="551"/>
      <c r="AY59" s="551"/>
      <c r="AZ59" s="551"/>
      <c r="BA59" s="551"/>
      <c r="BD59" s="339" t="s">
        <v>449</v>
      </c>
      <c r="BE59" s="340" t="s">
        <v>450</v>
      </c>
      <c r="BF59" s="97"/>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row>
    <row r="60" spans="1:105" ht="6.6" customHeight="1" x14ac:dyDescent="0.2">
      <c r="A60" s="431"/>
      <c r="B60" s="550"/>
      <c r="D60" s="562"/>
      <c r="E60" s="551"/>
      <c r="F60" s="834"/>
      <c r="G60" s="835"/>
      <c r="H60" s="836"/>
      <c r="I60" s="551"/>
      <c r="J60" s="551"/>
      <c r="K60" s="551"/>
      <c r="L60" s="551"/>
      <c r="M60" s="551"/>
      <c r="N60" s="808"/>
      <c r="O60" s="809"/>
      <c r="P60" s="810"/>
      <c r="Q60" s="551"/>
      <c r="R60" s="551"/>
      <c r="S60" s="551"/>
      <c r="T60" s="551"/>
      <c r="U60" s="551"/>
      <c r="V60" s="551"/>
      <c r="W60" s="551"/>
      <c r="X60" s="555"/>
      <c r="Y60" s="565"/>
      <c r="Z60" s="632"/>
      <c r="AA60" s="632"/>
      <c r="AB60" s="632"/>
      <c r="AC60" s="551"/>
      <c r="AD60" s="551"/>
      <c r="AE60" s="554"/>
      <c r="AF60" s="554"/>
      <c r="AG60" s="554"/>
      <c r="AH60" s="312"/>
      <c r="AI60" s="312"/>
      <c r="AJ60" s="312"/>
      <c r="AK60" s="312"/>
      <c r="AL60" s="312"/>
      <c r="AM60" s="554"/>
      <c r="AN60" s="551"/>
      <c r="AO60" s="551"/>
      <c r="AP60" s="551"/>
      <c r="AQ60" s="551"/>
      <c r="AR60" s="551"/>
      <c r="AS60" s="551"/>
      <c r="AT60" s="551"/>
      <c r="AU60" s="551"/>
      <c r="AV60" s="551"/>
      <c r="AW60" s="551"/>
      <c r="AX60" s="551"/>
      <c r="AY60" s="551"/>
      <c r="AZ60" s="551"/>
      <c r="BA60" s="551"/>
      <c r="BD60" s="341" t="s">
        <v>452</v>
      </c>
      <c r="BE60" s="340" t="s">
        <v>454</v>
      </c>
      <c r="BF60" s="97"/>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row>
    <row r="61" spans="1:105" ht="16.149999999999999" customHeight="1" x14ac:dyDescent="0.2">
      <c r="A61" s="431"/>
      <c r="B61" s="432"/>
      <c r="C61" s="643"/>
      <c r="D61" s="556" t="str">
        <f>D21&amp;" (W2,13)"</f>
        <v>Otras actividades económicas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819" t="str">
        <f>D38&amp;" (W2,29)"</f>
        <v>Otras actividades económicas (W2,29)</v>
      </c>
      <c r="AB61" s="825"/>
      <c r="AC61" s="825"/>
      <c r="AD61" s="825"/>
      <c r="AE61" s="825"/>
      <c r="AF61" s="825"/>
      <c r="AG61" s="825"/>
      <c r="AH61" s="825"/>
      <c r="AI61" s="825"/>
      <c r="AJ61" s="830"/>
      <c r="AK61" s="554"/>
      <c r="AL61" s="554"/>
      <c r="AM61" s="554"/>
      <c r="AN61" s="555"/>
      <c r="AO61" s="555"/>
      <c r="AP61" s="555"/>
      <c r="AQ61" s="555"/>
      <c r="AR61" s="555"/>
      <c r="AS61" s="555"/>
      <c r="AT61" s="555"/>
      <c r="AU61" s="555"/>
      <c r="AV61" s="555"/>
      <c r="AW61" s="555"/>
      <c r="AX61" s="555"/>
      <c r="AY61" s="555"/>
      <c r="AZ61" s="555"/>
      <c r="BA61" s="555"/>
      <c r="BB61" s="563"/>
      <c r="BD61" s="341" t="s">
        <v>451</v>
      </c>
      <c r="BE61" s="340" t="s">
        <v>386</v>
      </c>
      <c r="BF61" s="97"/>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row>
    <row r="62" spans="1:105" ht="24" customHeight="1" x14ac:dyDescent="0.25">
      <c r="A62" s="431"/>
      <c r="B62" s="199">
        <v>3</v>
      </c>
      <c r="C62" s="326" t="s">
        <v>122</v>
      </c>
      <c r="D62" s="425"/>
      <c r="E62" s="326"/>
      <c r="F62" s="231"/>
      <c r="G62" s="329"/>
      <c r="H62" s="330"/>
      <c r="I62" s="331"/>
      <c r="J62" s="331"/>
      <c r="K62" s="331"/>
      <c r="L62" s="331"/>
      <c r="M62" s="331"/>
      <c r="N62" s="331"/>
      <c r="O62" s="331"/>
      <c r="P62" s="330"/>
      <c r="Q62" s="331"/>
      <c r="R62" s="330"/>
      <c r="S62" s="331"/>
      <c r="T62" s="330"/>
      <c r="U62" s="331"/>
      <c r="V62" s="330"/>
      <c r="W62" s="329"/>
      <c r="X62" s="330"/>
      <c r="Y62" s="329"/>
      <c r="Z62" s="330"/>
      <c r="AA62" s="329"/>
      <c r="AB62" s="330"/>
      <c r="AC62" s="329"/>
      <c r="AD62" s="330"/>
      <c r="AE62" s="329"/>
      <c r="AF62" s="426"/>
      <c r="AG62" s="329"/>
      <c r="AH62" s="330"/>
      <c r="AI62" s="331"/>
      <c r="AJ62" s="330"/>
      <c r="AK62" s="329"/>
      <c r="AL62" s="330"/>
      <c r="AM62" s="329"/>
      <c r="AN62" s="330"/>
      <c r="AO62" s="382"/>
      <c r="AP62" s="382"/>
      <c r="AQ62" s="382"/>
      <c r="AR62" s="382"/>
      <c r="AS62" s="382"/>
      <c r="AT62" s="381"/>
      <c r="AU62" s="328"/>
      <c r="AV62" s="382"/>
      <c r="AW62" s="382"/>
      <c r="AX62" s="381"/>
      <c r="AY62" s="328"/>
      <c r="AZ62" s="381"/>
      <c r="BA62" s="328"/>
      <c r="BB62" s="328"/>
      <c r="BD62" s="651"/>
      <c r="BE62" s="651"/>
      <c r="BF62" s="97"/>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row>
    <row r="63" spans="1:105" ht="14.25" customHeight="1" x14ac:dyDescent="0.25">
      <c r="A63" s="431"/>
      <c r="C63" s="427"/>
      <c r="D63" s="427"/>
      <c r="E63" s="428"/>
      <c r="F63" s="368"/>
      <c r="G63" s="364"/>
      <c r="H63" s="365"/>
      <c r="I63" s="366"/>
      <c r="J63" s="366"/>
      <c r="K63" s="366"/>
      <c r="L63" s="366"/>
      <c r="M63" s="366"/>
      <c r="N63" s="366"/>
      <c r="O63" s="366"/>
      <c r="P63" s="365"/>
      <c r="Q63" s="366"/>
      <c r="R63" s="365"/>
      <c r="S63" s="366"/>
      <c r="T63" s="365"/>
      <c r="U63" s="366"/>
      <c r="V63" s="365"/>
      <c r="W63" s="364"/>
      <c r="X63" s="365"/>
      <c r="Y63" s="364"/>
      <c r="Z63" s="365"/>
      <c r="AA63" s="364"/>
      <c r="AB63" s="365"/>
      <c r="AC63" s="364"/>
      <c r="AD63" s="365"/>
      <c r="AE63" s="364"/>
      <c r="AF63" s="429"/>
      <c r="AG63" s="364"/>
      <c r="AH63" s="365"/>
      <c r="AI63" s="366"/>
      <c r="AJ63" s="365"/>
      <c r="AK63" s="364"/>
      <c r="AL63" s="367"/>
      <c r="AM63" s="362"/>
      <c r="AN63" s="367"/>
      <c r="BD63" s="436"/>
      <c r="BE63" s="437"/>
      <c r="BF63" s="97"/>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row>
    <row r="64" spans="1:105" ht="24" customHeight="1" x14ac:dyDescent="0.2">
      <c r="A64" s="431"/>
      <c r="B64" s="549"/>
      <c r="C64" s="430" t="s">
        <v>525</v>
      </c>
      <c r="D64" s="831" t="s">
        <v>526</v>
      </c>
      <c r="E64" s="832"/>
      <c r="F64" s="832"/>
      <c r="G64" s="832"/>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32"/>
      <c r="AY64" s="832"/>
      <c r="AZ64" s="832"/>
      <c r="BA64" s="832"/>
      <c r="BB64" s="833"/>
      <c r="BD64" s="436"/>
      <c r="BE64" s="437"/>
      <c r="BF64" s="97"/>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row>
    <row r="65" spans="1:105" ht="18" customHeight="1" x14ac:dyDescent="0.2">
      <c r="A65" s="431">
        <v>0</v>
      </c>
      <c r="B65" s="432">
        <v>6041</v>
      </c>
      <c r="C65" s="580" t="s">
        <v>21</v>
      </c>
      <c r="D65" s="799" t="s">
        <v>683</v>
      </c>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0"/>
      <c r="AT65" s="800"/>
      <c r="AU65" s="800"/>
      <c r="AV65" s="800"/>
      <c r="AW65" s="800"/>
      <c r="AX65" s="800"/>
      <c r="AY65" s="800"/>
      <c r="AZ65" s="800"/>
      <c r="BA65" s="800"/>
      <c r="BB65" s="801"/>
      <c r="BD65" s="436"/>
      <c r="BE65" s="437"/>
      <c r="BF65" s="97"/>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row>
    <row r="66" spans="1:105" ht="18" customHeight="1" x14ac:dyDescent="0.2">
      <c r="A66" s="431">
        <v>0</v>
      </c>
      <c r="B66" s="432">
        <v>6042</v>
      </c>
      <c r="C66" s="581" t="s">
        <v>681</v>
      </c>
      <c r="D66" s="788" t="s">
        <v>684</v>
      </c>
      <c r="E66" s="789"/>
      <c r="F66" s="789"/>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828"/>
      <c r="AP66" s="828"/>
      <c r="AQ66" s="828"/>
      <c r="AR66" s="828"/>
      <c r="AS66" s="828"/>
      <c r="AT66" s="828"/>
      <c r="AU66" s="828"/>
      <c r="AV66" s="828"/>
      <c r="AW66" s="828"/>
      <c r="AX66" s="828"/>
      <c r="AY66" s="828"/>
      <c r="AZ66" s="828"/>
      <c r="BA66" s="828"/>
      <c r="BB66" s="829"/>
      <c r="BD66" s="436"/>
      <c r="BE66" s="437"/>
      <c r="BF66" s="97"/>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row>
    <row r="67" spans="1:105" ht="18" customHeight="1" x14ac:dyDescent="0.2">
      <c r="A67" s="431">
        <v>0</v>
      </c>
      <c r="B67" s="432">
        <v>6043</v>
      </c>
      <c r="C67" s="581" t="s">
        <v>682</v>
      </c>
      <c r="D67" s="788" t="s">
        <v>685</v>
      </c>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828"/>
      <c r="AP67" s="828"/>
      <c r="AQ67" s="828"/>
      <c r="AR67" s="828"/>
      <c r="AS67" s="828"/>
      <c r="AT67" s="828"/>
      <c r="AU67" s="828"/>
      <c r="AV67" s="828"/>
      <c r="AW67" s="828"/>
      <c r="AX67" s="828"/>
      <c r="AY67" s="828"/>
      <c r="AZ67" s="828"/>
      <c r="BA67" s="828"/>
      <c r="BB67" s="829"/>
      <c r="BD67" s="436"/>
      <c r="BE67" s="437"/>
      <c r="BF67" s="97"/>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row>
    <row r="68" spans="1:105" ht="18" customHeight="1" x14ac:dyDescent="0.2">
      <c r="A68" s="431"/>
      <c r="B68" s="432"/>
      <c r="C68" s="581"/>
      <c r="D68" s="788"/>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828"/>
      <c r="AO68" s="828"/>
      <c r="AP68" s="828"/>
      <c r="AQ68" s="828"/>
      <c r="AR68" s="828"/>
      <c r="AS68" s="828"/>
      <c r="AT68" s="828"/>
      <c r="AU68" s="828"/>
      <c r="AV68" s="828"/>
      <c r="AW68" s="828"/>
      <c r="AX68" s="828"/>
      <c r="AY68" s="828"/>
      <c r="AZ68" s="828"/>
      <c r="BA68" s="828"/>
      <c r="BB68" s="829"/>
      <c r="BD68" s="436"/>
      <c r="BE68" s="437"/>
      <c r="BF68" s="97"/>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row>
    <row r="69" spans="1:105" ht="18" customHeight="1" x14ac:dyDescent="0.2">
      <c r="A69" s="431"/>
      <c r="B69" s="432"/>
      <c r="C69" s="581"/>
      <c r="D69" s="788"/>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8"/>
      <c r="AY69" s="828"/>
      <c r="AZ69" s="828"/>
      <c r="BA69" s="828"/>
      <c r="BB69" s="829"/>
      <c r="BD69" s="436"/>
      <c r="BE69" s="437"/>
      <c r="BF69" s="97"/>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row>
    <row r="70" spans="1:105" ht="18" customHeight="1" x14ac:dyDescent="0.2">
      <c r="A70" s="431"/>
      <c r="B70" s="432"/>
      <c r="C70" s="581"/>
      <c r="D70" s="788"/>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8"/>
      <c r="AY70" s="828"/>
      <c r="AZ70" s="828"/>
      <c r="BA70" s="828"/>
      <c r="BB70" s="829"/>
      <c r="BD70" s="436"/>
      <c r="BE70" s="437"/>
      <c r="BF70" s="97"/>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row>
    <row r="71" spans="1:105" ht="18" customHeight="1" x14ac:dyDescent="0.2">
      <c r="C71" s="581"/>
      <c r="D71" s="788"/>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828"/>
      <c r="AO71" s="828"/>
      <c r="AP71" s="828"/>
      <c r="AQ71" s="828"/>
      <c r="AR71" s="828"/>
      <c r="AS71" s="828"/>
      <c r="AT71" s="828"/>
      <c r="AU71" s="828"/>
      <c r="AV71" s="828"/>
      <c r="AW71" s="828"/>
      <c r="AX71" s="828"/>
      <c r="AY71" s="828"/>
      <c r="AZ71" s="828"/>
      <c r="BA71" s="828"/>
      <c r="BB71" s="829"/>
      <c r="BD71" s="436"/>
      <c r="BE71" s="437"/>
      <c r="BF71" s="97"/>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row>
    <row r="72" spans="1:105" ht="18" customHeight="1" x14ac:dyDescent="0.2">
      <c r="C72" s="581"/>
      <c r="D72" s="788"/>
      <c r="E72" s="840"/>
      <c r="F72" s="840"/>
      <c r="G72" s="840"/>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40"/>
      <c r="BA72" s="840"/>
      <c r="BB72" s="841"/>
      <c r="BD72" s="436"/>
      <c r="BE72" s="439"/>
      <c r="BF72" s="97"/>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row>
    <row r="73" spans="1:105" ht="18" customHeight="1" x14ac:dyDescent="0.2">
      <c r="C73" s="581"/>
      <c r="D73" s="788"/>
      <c r="E73" s="840"/>
      <c r="F73" s="840"/>
      <c r="G73" s="840"/>
      <c r="H73" s="840"/>
      <c r="I73" s="840"/>
      <c r="J73" s="840"/>
      <c r="K73" s="840"/>
      <c r="L73" s="840"/>
      <c r="M73" s="840"/>
      <c r="N73" s="840"/>
      <c r="O73" s="840"/>
      <c r="P73" s="840"/>
      <c r="Q73" s="840"/>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40"/>
      <c r="BA73" s="840"/>
      <c r="BB73" s="841"/>
    </row>
    <row r="74" spans="1:105" ht="18" customHeight="1" x14ac:dyDescent="0.2">
      <c r="C74" s="581"/>
      <c r="D74" s="788"/>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828"/>
      <c r="AY74" s="828"/>
      <c r="AZ74" s="828"/>
      <c r="BA74" s="828"/>
      <c r="BB74" s="829"/>
    </row>
    <row r="75" spans="1:105" ht="18" customHeight="1" x14ac:dyDescent="0.2">
      <c r="C75" s="581"/>
      <c r="D75" s="788"/>
      <c r="E75" s="828"/>
      <c r="F75" s="828"/>
      <c r="G75" s="828"/>
      <c r="H75" s="828"/>
      <c r="I75" s="828"/>
      <c r="J75" s="828"/>
      <c r="K75" s="828"/>
      <c r="L75" s="828"/>
      <c r="M75" s="828"/>
      <c r="N75" s="828"/>
      <c r="O75" s="828"/>
      <c r="P75" s="828"/>
      <c r="Q75" s="828"/>
      <c r="R75" s="828"/>
      <c r="S75" s="828"/>
      <c r="T75" s="828"/>
      <c r="U75" s="828"/>
      <c r="V75" s="828"/>
      <c r="W75" s="828"/>
      <c r="X75" s="828"/>
      <c r="Y75" s="828"/>
      <c r="Z75" s="828"/>
      <c r="AA75" s="828"/>
      <c r="AB75" s="828"/>
      <c r="AC75" s="828"/>
      <c r="AD75" s="828"/>
      <c r="AE75" s="828"/>
      <c r="AF75" s="828"/>
      <c r="AG75" s="828"/>
      <c r="AH75" s="828"/>
      <c r="AI75" s="828"/>
      <c r="AJ75" s="828"/>
      <c r="AK75" s="828"/>
      <c r="AL75" s="828"/>
      <c r="AM75" s="828"/>
      <c r="AN75" s="828"/>
      <c r="AO75" s="828"/>
      <c r="AP75" s="828"/>
      <c r="AQ75" s="828"/>
      <c r="AR75" s="828"/>
      <c r="AS75" s="828"/>
      <c r="AT75" s="828"/>
      <c r="AU75" s="828"/>
      <c r="AV75" s="828"/>
      <c r="AW75" s="828"/>
      <c r="AX75" s="828"/>
      <c r="AY75" s="828"/>
      <c r="AZ75" s="828"/>
      <c r="BA75" s="828"/>
      <c r="BB75" s="829"/>
    </row>
    <row r="76" spans="1:105" ht="18" customHeight="1" x14ac:dyDescent="0.2">
      <c r="C76" s="581"/>
      <c r="D76" s="788"/>
      <c r="E76" s="789"/>
      <c r="F76" s="789"/>
      <c r="G76" s="789"/>
      <c r="H76" s="789"/>
      <c r="I76" s="789"/>
      <c r="J76" s="789"/>
      <c r="K76" s="789"/>
      <c r="L76" s="789"/>
      <c r="M76" s="789"/>
      <c r="N76" s="789"/>
      <c r="O76" s="789"/>
      <c r="P76" s="789"/>
      <c r="Q76" s="789"/>
      <c r="R76" s="789"/>
      <c r="S76" s="789"/>
      <c r="T76" s="789"/>
      <c r="U76" s="789"/>
      <c r="V76" s="789"/>
      <c r="W76" s="789"/>
      <c r="X76" s="789"/>
      <c r="Y76" s="789"/>
      <c r="Z76" s="789"/>
      <c r="AA76" s="789"/>
      <c r="AB76" s="789"/>
      <c r="AC76" s="789"/>
      <c r="AD76" s="789"/>
      <c r="AE76" s="789"/>
      <c r="AF76" s="789"/>
      <c r="AG76" s="789"/>
      <c r="AH76" s="789"/>
      <c r="AI76" s="789"/>
      <c r="AJ76" s="789"/>
      <c r="AK76" s="789"/>
      <c r="AL76" s="789"/>
      <c r="AM76" s="789"/>
      <c r="AN76" s="789"/>
      <c r="AO76" s="828"/>
      <c r="AP76" s="828"/>
      <c r="AQ76" s="828"/>
      <c r="AR76" s="828"/>
      <c r="AS76" s="828"/>
      <c r="AT76" s="828"/>
      <c r="AU76" s="828"/>
      <c r="AV76" s="828"/>
      <c r="AW76" s="828"/>
      <c r="AX76" s="828"/>
      <c r="AY76" s="828"/>
      <c r="AZ76" s="828"/>
      <c r="BA76" s="828"/>
      <c r="BB76" s="829"/>
    </row>
    <row r="77" spans="1:105" ht="18" customHeight="1" x14ac:dyDescent="0.2">
      <c r="C77" s="581"/>
      <c r="D77" s="788"/>
      <c r="E77" s="789"/>
      <c r="F77" s="789"/>
      <c r="G77" s="789"/>
      <c r="H77" s="789"/>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9"/>
      <c r="AN77" s="789"/>
      <c r="AO77" s="828"/>
      <c r="AP77" s="828"/>
      <c r="AQ77" s="828"/>
      <c r="AR77" s="828"/>
      <c r="AS77" s="828"/>
      <c r="AT77" s="828"/>
      <c r="AU77" s="828"/>
      <c r="AV77" s="828"/>
      <c r="AW77" s="828"/>
      <c r="AX77" s="828"/>
      <c r="AY77" s="828"/>
      <c r="AZ77" s="828"/>
      <c r="BA77" s="828"/>
      <c r="BB77" s="829"/>
    </row>
    <row r="78" spans="1:105" ht="18" customHeight="1" x14ac:dyDescent="0.2">
      <c r="C78" s="581"/>
      <c r="D78" s="788"/>
      <c r="E78" s="789"/>
      <c r="F78" s="789"/>
      <c r="G78" s="789"/>
      <c r="H78" s="789"/>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828"/>
      <c r="AP78" s="828"/>
      <c r="AQ78" s="828"/>
      <c r="AR78" s="828"/>
      <c r="AS78" s="828"/>
      <c r="AT78" s="828"/>
      <c r="AU78" s="828"/>
      <c r="AV78" s="828"/>
      <c r="AW78" s="828"/>
      <c r="AX78" s="828"/>
      <c r="AY78" s="828"/>
      <c r="AZ78" s="828"/>
      <c r="BA78" s="828"/>
      <c r="BB78" s="829"/>
    </row>
    <row r="79" spans="1:105" ht="18" customHeight="1" x14ac:dyDescent="0.2">
      <c r="C79" s="581"/>
      <c r="D79" s="788"/>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828"/>
      <c r="AP79" s="828"/>
      <c r="AQ79" s="828"/>
      <c r="AR79" s="828"/>
      <c r="AS79" s="828"/>
      <c r="AT79" s="828"/>
      <c r="AU79" s="828"/>
      <c r="AV79" s="828"/>
      <c r="AW79" s="828"/>
      <c r="AX79" s="828"/>
      <c r="AY79" s="828"/>
      <c r="AZ79" s="828"/>
      <c r="BA79" s="828"/>
      <c r="BB79" s="829"/>
    </row>
    <row r="80" spans="1:105" ht="18" customHeight="1" x14ac:dyDescent="0.2">
      <c r="C80" s="581"/>
      <c r="D80" s="788"/>
      <c r="E80" s="789"/>
      <c r="F80" s="789"/>
      <c r="G80" s="789"/>
      <c r="H80" s="789"/>
      <c r="I80" s="789"/>
      <c r="J80" s="789"/>
      <c r="K80" s="789"/>
      <c r="L80" s="789"/>
      <c r="M80" s="789"/>
      <c r="N80" s="789"/>
      <c r="O80" s="789"/>
      <c r="P80" s="789"/>
      <c r="Q80" s="789"/>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828"/>
      <c r="AP80" s="828"/>
      <c r="AQ80" s="828"/>
      <c r="AR80" s="828"/>
      <c r="AS80" s="828"/>
      <c r="AT80" s="828"/>
      <c r="AU80" s="828"/>
      <c r="AV80" s="828"/>
      <c r="AW80" s="828"/>
      <c r="AX80" s="828"/>
      <c r="AY80" s="828"/>
      <c r="AZ80" s="828"/>
      <c r="BA80" s="828"/>
      <c r="BB80" s="829"/>
    </row>
    <row r="81" spans="1:105" ht="18" customHeight="1" x14ac:dyDescent="0.2">
      <c r="C81" s="581"/>
      <c r="D81" s="788"/>
      <c r="E81" s="789"/>
      <c r="F81" s="789"/>
      <c r="G81" s="789"/>
      <c r="H81" s="789"/>
      <c r="I81" s="789"/>
      <c r="J81" s="789"/>
      <c r="K81" s="789"/>
      <c r="L81" s="789"/>
      <c r="M81" s="789"/>
      <c r="N81" s="789"/>
      <c r="O81" s="789"/>
      <c r="P81" s="789"/>
      <c r="Q81" s="789"/>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828"/>
      <c r="AO81" s="828"/>
      <c r="AP81" s="828"/>
      <c r="AQ81" s="828"/>
      <c r="AR81" s="828"/>
      <c r="AS81" s="828"/>
      <c r="AT81" s="828"/>
      <c r="AU81" s="828"/>
      <c r="AV81" s="828"/>
      <c r="AW81" s="828"/>
      <c r="AX81" s="828"/>
      <c r="AY81" s="828"/>
      <c r="AZ81" s="828"/>
      <c r="BA81" s="828"/>
      <c r="BB81" s="829"/>
    </row>
    <row r="82" spans="1:105" ht="18" customHeight="1" x14ac:dyDescent="0.2">
      <c r="C82" s="581"/>
      <c r="D82" s="788"/>
      <c r="E82" s="828"/>
      <c r="F82" s="828"/>
      <c r="G82" s="828"/>
      <c r="H82" s="828"/>
      <c r="I82" s="828"/>
      <c r="J82" s="828"/>
      <c r="K82" s="828"/>
      <c r="L82" s="828"/>
      <c r="M82" s="828"/>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28"/>
      <c r="BA82" s="828"/>
      <c r="BB82" s="829"/>
    </row>
    <row r="83" spans="1:105" ht="18" customHeight="1" x14ac:dyDescent="0.2">
      <c r="C83" s="581"/>
      <c r="D83" s="788"/>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28"/>
      <c r="BA83" s="828"/>
      <c r="BB83" s="829"/>
    </row>
    <row r="84" spans="1:105" ht="18" customHeight="1" x14ac:dyDescent="0.2">
      <c r="C84" s="581"/>
      <c r="D84" s="788"/>
      <c r="E84" s="789"/>
      <c r="F84" s="789"/>
      <c r="G84" s="789"/>
      <c r="H84" s="789"/>
      <c r="I84" s="789"/>
      <c r="J84" s="789"/>
      <c r="K84" s="789"/>
      <c r="L84" s="789"/>
      <c r="M84" s="789"/>
      <c r="N84" s="789"/>
      <c r="O84" s="789"/>
      <c r="P84" s="789"/>
      <c r="Q84" s="789"/>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828"/>
      <c r="AO84" s="828"/>
      <c r="AP84" s="828"/>
      <c r="AQ84" s="828"/>
      <c r="AR84" s="828"/>
      <c r="AS84" s="828"/>
      <c r="AT84" s="828"/>
      <c r="AU84" s="828"/>
      <c r="AV84" s="828"/>
      <c r="AW84" s="828"/>
      <c r="AX84" s="828"/>
      <c r="AY84" s="828"/>
      <c r="AZ84" s="828"/>
      <c r="BA84" s="828"/>
      <c r="BB84" s="829"/>
    </row>
    <row r="85" spans="1:105" ht="18" customHeight="1" x14ac:dyDescent="0.2">
      <c r="C85" s="581"/>
      <c r="D85" s="788"/>
      <c r="E85" s="828"/>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28"/>
      <c r="BA85" s="828"/>
      <c r="BB85" s="829"/>
    </row>
    <row r="86" spans="1:105" ht="18" customHeight="1" x14ac:dyDescent="0.2">
      <c r="C86" s="582"/>
      <c r="D86" s="793"/>
      <c r="E86" s="838"/>
      <c r="F86" s="838"/>
      <c r="G86" s="838"/>
      <c r="H86" s="838"/>
      <c r="I86" s="838"/>
      <c r="J86" s="838"/>
      <c r="K86" s="838"/>
      <c r="L86" s="838"/>
      <c r="M86" s="838"/>
      <c r="N86" s="838"/>
      <c r="O86" s="838"/>
      <c r="P86" s="838"/>
      <c r="Q86" s="838"/>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8"/>
      <c r="BA86" s="838"/>
      <c r="BB86" s="839"/>
      <c r="BD86" s="652"/>
      <c r="BE86" s="652"/>
      <c r="BF86" s="652"/>
      <c r="BG86" s="652"/>
      <c r="BH86" s="652"/>
      <c r="BI86" s="652"/>
      <c r="BJ86" s="652"/>
      <c r="BK86" s="652"/>
      <c r="BL86" s="652"/>
      <c r="BM86" s="652"/>
      <c r="BN86" s="652"/>
      <c r="BO86" s="652"/>
      <c r="BP86" s="652"/>
      <c r="BQ86" s="652"/>
      <c r="BR86" s="652"/>
      <c r="BS86" s="652"/>
      <c r="BT86" s="652"/>
      <c r="BU86" s="652"/>
      <c r="BV86" s="652"/>
      <c r="BW86" s="652"/>
      <c r="BX86" s="652"/>
      <c r="BY86" s="652"/>
      <c r="BZ86" s="652"/>
      <c r="CA86" s="652"/>
      <c r="CB86" s="652"/>
      <c r="CC86" s="652"/>
      <c r="CD86" s="652"/>
      <c r="CE86" s="652"/>
      <c r="CF86" s="652"/>
      <c r="CG86" s="652"/>
      <c r="CH86" s="652"/>
      <c r="CI86" s="652"/>
      <c r="CJ86" s="652"/>
      <c r="CK86" s="652"/>
      <c r="CL86" s="652"/>
      <c r="CM86" s="652"/>
      <c r="CN86" s="652"/>
      <c r="CO86" s="652"/>
      <c r="CP86" s="652"/>
      <c r="CQ86" s="652"/>
      <c r="CR86" s="652"/>
      <c r="CS86" s="652"/>
      <c r="CT86" s="652"/>
      <c r="CU86" s="652"/>
      <c r="CV86" s="652"/>
      <c r="CW86" s="652"/>
      <c r="CX86" s="652"/>
      <c r="CY86" s="652"/>
      <c r="CZ86" s="652"/>
      <c r="DA86" s="652"/>
    </row>
    <row r="87" spans="1:105" ht="16.5" customHeight="1" x14ac:dyDescent="0.2">
      <c r="BD87" s="652"/>
      <c r="BE87" s="652"/>
      <c r="BF87" s="652"/>
      <c r="BG87" s="652"/>
      <c r="BH87" s="652"/>
      <c r="BI87" s="652"/>
      <c r="BJ87" s="652"/>
      <c r="BK87" s="652"/>
      <c r="BL87" s="652"/>
      <c r="BM87" s="652"/>
      <c r="BN87" s="652"/>
      <c r="BO87" s="652"/>
      <c r="BP87" s="652"/>
      <c r="BQ87" s="652"/>
      <c r="BR87" s="652"/>
      <c r="BS87" s="652"/>
      <c r="BT87" s="652"/>
      <c r="BU87" s="652"/>
      <c r="BV87" s="652"/>
      <c r="BW87" s="652"/>
      <c r="BX87" s="652"/>
      <c r="BY87" s="652"/>
      <c r="BZ87" s="652"/>
      <c r="CA87" s="652"/>
      <c r="CB87" s="652"/>
      <c r="CC87" s="652"/>
      <c r="CD87" s="652"/>
      <c r="CE87" s="652"/>
      <c r="CF87" s="652"/>
      <c r="CG87" s="652"/>
      <c r="CH87" s="652"/>
      <c r="CI87" s="652"/>
      <c r="CJ87" s="652"/>
      <c r="CK87" s="652"/>
      <c r="CL87" s="652"/>
      <c r="CM87" s="652"/>
      <c r="CN87" s="652"/>
      <c r="CO87" s="652"/>
      <c r="CP87" s="652"/>
      <c r="CQ87" s="652"/>
      <c r="CR87" s="652"/>
      <c r="CS87" s="652"/>
      <c r="CT87" s="652"/>
      <c r="CU87" s="652"/>
      <c r="CV87" s="652"/>
      <c r="CW87" s="652"/>
      <c r="CX87" s="652"/>
      <c r="CY87" s="652"/>
      <c r="CZ87" s="652"/>
      <c r="DA87" s="652"/>
    </row>
    <row r="88" spans="1:105" x14ac:dyDescent="0.2">
      <c r="A88" s="442"/>
      <c r="B88" s="432"/>
      <c r="BD88" s="652"/>
      <c r="BE88" s="652"/>
      <c r="BF88" s="652"/>
      <c r="BG88" s="652"/>
      <c r="BH88" s="652"/>
      <c r="BI88" s="652"/>
      <c r="BJ88" s="652"/>
      <c r="BK88" s="652"/>
      <c r="BL88" s="652"/>
      <c r="BM88" s="652"/>
      <c r="BN88" s="652"/>
      <c r="BO88" s="652"/>
      <c r="BP88" s="652"/>
      <c r="BQ88" s="652"/>
      <c r="BR88" s="652"/>
      <c r="BS88" s="652"/>
      <c r="BT88" s="652"/>
      <c r="BU88" s="652"/>
      <c r="BV88" s="652"/>
      <c r="BW88" s="652"/>
      <c r="BX88" s="652"/>
      <c r="BY88" s="652"/>
      <c r="BZ88" s="652"/>
      <c r="CA88" s="652"/>
      <c r="CB88" s="652"/>
      <c r="CC88" s="652"/>
      <c r="CD88" s="652"/>
      <c r="CE88" s="652"/>
      <c r="CF88" s="652"/>
      <c r="CG88" s="652"/>
      <c r="CH88" s="652"/>
      <c r="CI88" s="652"/>
      <c r="CJ88" s="652"/>
      <c r="CK88" s="652"/>
      <c r="CL88" s="652"/>
      <c r="CM88" s="652"/>
      <c r="CN88" s="652"/>
      <c r="CO88" s="652"/>
      <c r="CP88" s="652"/>
      <c r="CQ88" s="652"/>
      <c r="CR88" s="652"/>
      <c r="CS88" s="652"/>
      <c r="CT88" s="652"/>
      <c r="CU88" s="652"/>
      <c r="CV88" s="652"/>
      <c r="CW88" s="652"/>
      <c r="CX88" s="652"/>
      <c r="CY88" s="652"/>
      <c r="CZ88" s="652"/>
      <c r="DA88" s="652"/>
    </row>
    <row r="89" spans="1:105" x14ac:dyDescent="0.2">
      <c r="A89" s="442"/>
      <c r="B89" s="43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c r="CT89" s="652"/>
      <c r="CU89" s="652"/>
      <c r="CV89" s="652"/>
      <c r="CW89" s="652"/>
      <c r="CX89" s="652"/>
      <c r="CY89" s="652"/>
      <c r="CZ89" s="652"/>
      <c r="DA89" s="652"/>
    </row>
    <row r="90" spans="1:105" x14ac:dyDescent="0.2">
      <c r="A90" s="442"/>
      <c r="B90" s="432"/>
    </row>
  </sheetData>
  <sheetProtection formatCells="0" formatColumns="0" formatRows="0" insertColumns="0"/>
  <mergeCells count="45">
    <mergeCell ref="D86:BB86"/>
    <mergeCell ref="D71:BB71"/>
    <mergeCell ref="D83:BB83"/>
    <mergeCell ref="D76:BB76"/>
    <mergeCell ref="D85:BB85"/>
    <mergeCell ref="D82:BB82"/>
    <mergeCell ref="D80:BB80"/>
    <mergeCell ref="D72:BB72"/>
    <mergeCell ref="D73:BB73"/>
    <mergeCell ref="D77:BB77"/>
    <mergeCell ref="D81:BB81"/>
    <mergeCell ref="D79:BB79"/>
    <mergeCell ref="D84:BB84"/>
    <mergeCell ref="D74:BB74"/>
    <mergeCell ref="D75:BB75"/>
    <mergeCell ref="AA51:AJ51"/>
    <mergeCell ref="AA61:AJ61"/>
    <mergeCell ref="D64:BB64"/>
    <mergeCell ref="F58:H60"/>
    <mergeCell ref="AB58:AJ58"/>
    <mergeCell ref="N59:P60"/>
    <mergeCell ref="AA59:AJ59"/>
    <mergeCell ref="D65:BB65"/>
    <mergeCell ref="D66:BB66"/>
    <mergeCell ref="D70:BB70"/>
    <mergeCell ref="D69:BB69"/>
    <mergeCell ref="D78:BB78"/>
    <mergeCell ref="D67:BB67"/>
    <mergeCell ref="D68:BB68"/>
    <mergeCell ref="C5:AM5"/>
    <mergeCell ref="D43:BB43"/>
    <mergeCell ref="D41:BB41"/>
    <mergeCell ref="D42:BB42"/>
    <mergeCell ref="F47:H48"/>
    <mergeCell ref="U48:V49"/>
    <mergeCell ref="L49:N57"/>
    <mergeCell ref="F51:H51"/>
    <mergeCell ref="E45:H45"/>
    <mergeCell ref="D44:BB44"/>
    <mergeCell ref="AA57:AJ57"/>
    <mergeCell ref="D40:BB40"/>
    <mergeCell ref="AA53:AJ53"/>
    <mergeCell ref="AA55:AJ55"/>
    <mergeCell ref="Q49:S57"/>
    <mergeCell ref="AA49:AJ49"/>
  </mergeCells>
  <phoneticPr fontId="10" type="noConversion"/>
  <conditionalFormatting sqref="F10">
    <cfRule type="cellIs" dxfId="169" priority="93" stopIfTrue="1" operator="lessThan">
      <formula>F8+F9-(0.01*(F8+F9))</formula>
    </cfRule>
  </conditionalFormatting>
  <conditionalFormatting sqref="L10">
    <cfRule type="cellIs" dxfId="168" priority="90" stopIfTrue="1" operator="lessThan">
      <formula>L8+L9-(0.01*(L8+L9))</formula>
    </cfRule>
  </conditionalFormatting>
  <conditionalFormatting sqref="T10">
    <cfRule type="cellIs" dxfId="167" priority="87" stopIfTrue="1" operator="lessThan">
      <formula>T8+T9-(0.01*(T8+T9))</formula>
    </cfRule>
  </conditionalFormatting>
  <conditionalFormatting sqref="AH10">
    <cfRule type="cellIs" dxfId="166" priority="81" stopIfTrue="1" operator="lessThan">
      <formula>AH8+AH9-(0.01*(AH8+AH9))</formula>
    </cfRule>
  </conditionalFormatting>
  <conditionalFormatting sqref="Z10">
    <cfRule type="cellIs" dxfId="165" priority="84" stopIfTrue="1" operator="lessThan">
      <formula>Z8+Z9-(0.01*(Z8+Z9))</formula>
    </cfRule>
  </conditionalFormatting>
  <conditionalFormatting sqref="AN10">
    <cfRule type="cellIs" dxfId="164" priority="78" stopIfTrue="1" operator="lessThan">
      <formula>AN8+AN9-(0.01*(AN8+AN9))</formula>
    </cfRule>
  </conditionalFormatting>
  <conditionalFormatting sqref="N10">
    <cfRule type="cellIs" dxfId="163" priority="72" stopIfTrue="1" operator="lessThan">
      <formula>N8+N9-(0.01*(N8+N9))</formula>
    </cfRule>
  </conditionalFormatting>
  <conditionalFormatting sqref="F28">
    <cfRule type="cellIs" dxfId="162" priority="68" stopIfTrue="1" operator="lessThan">
      <formula>0.99*(F26-F27)</formula>
    </cfRule>
  </conditionalFormatting>
  <conditionalFormatting sqref="H10">
    <cfRule type="cellIs" dxfId="161" priority="92" stopIfTrue="1" operator="lessThan">
      <formula>H8+H9-(0.01*(H8+H9))</formula>
    </cfRule>
  </conditionalFormatting>
  <conditionalFormatting sqref="J10">
    <cfRule type="cellIs" dxfId="160" priority="91" stopIfTrue="1" operator="lessThan">
      <formula>J8+J9-(0.01*(J8+J9))</formula>
    </cfRule>
  </conditionalFormatting>
  <conditionalFormatting sqref="P10">
    <cfRule type="cellIs" dxfId="159" priority="89" stopIfTrue="1" operator="lessThan">
      <formula>P8+P9-(0.01*(P8+P9))</formula>
    </cfRule>
  </conditionalFormatting>
  <conditionalFormatting sqref="R10">
    <cfRule type="cellIs" dxfId="158" priority="88" stopIfTrue="1" operator="lessThan">
      <formula>R8+R9-(0.01*(R8+R9))</formula>
    </cfRule>
  </conditionalFormatting>
  <conditionalFormatting sqref="V10">
    <cfRule type="cellIs" dxfId="157" priority="86" stopIfTrue="1" operator="lessThan">
      <formula>V8+V9-(0.01*(V8+V9))</formula>
    </cfRule>
  </conditionalFormatting>
  <conditionalFormatting sqref="X10">
    <cfRule type="cellIs" dxfId="156" priority="85" stopIfTrue="1" operator="lessThan">
      <formula>X8+X9-(0.01*(X8+X9))</formula>
    </cfRule>
  </conditionalFormatting>
  <conditionalFormatting sqref="AB10">
    <cfRule type="cellIs" dxfId="155" priority="83" stopIfTrue="1" operator="lessThan">
      <formula>AB8+AB9-(0.01*(AB8+AB9))</formula>
    </cfRule>
  </conditionalFormatting>
  <conditionalFormatting sqref="AD10">
    <cfRule type="cellIs" dxfId="154" priority="82" stopIfTrue="1" operator="lessThan">
      <formula>AD8+AD9-(0.01*(AD8+AD9))</formula>
    </cfRule>
  </conditionalFormatting>
  <conditionalFormatting sqref="AJ10">
    <cfRule type="cellIs" dxfId="153" priority="80" stopIfTrue="1" operator="lessThan">
      <formula>AJ8+AJ9-(0.01*(AJ8+AJ9))</formula>
    </cfRule>
  </conditionalFormatting>
  <conditionalFormatting sqref="AL10">
    <cfRule type="cellIs" dxfId="152" priority="79" stopIfTrue="1" operator="lessThan">
      <formula>AL8+AL9-(0.01*(AL8+AL9))</formula>
    </cfRule>
  </conditionalFormatting>
  <conditionalFormatting sqref="AP10">
    <cfRule type="cellIs" dxfId="151" priority="77" stopIfTrue="1" operator="lessThan">
      <formula>AP8+AP9-(0.01*(AP8+AP9))</formula>
    </cfRule>
  </conditionalFormatting>
  <conditionalFormatting sqref="AF10">
    <cfRule type="cellIs" dxfId="150" priority="73" stopIfTrue="1" operator="lessThan">
      <formula>AF8+AF9-(0.01*(AF8+AF9))</formula>
    </cfRule>
  </conditionalFormatting>
  <conditionalFormatting sqref="F26">
    <cfRule type="cellIs" dxfId="149" priority="69" stopIfTrue="1" operator="lessThan">
      <formula>F10+F22+F23+F24-F25-(0.01*(F10+F22+F23+F24-F25))</formula>
    </cfRule>
  </conditionalFormatting>
  <conditionalFormatting sqref="H28 J28 L28 N28 P28 R28 T28 V28 X28 Z28 AB28 AD28 AF28 AH28 AJ28 AL28 AN28 AP28 AT28 AZ28 AV28 AX28">
    <cfRule type="cellIs" dxfId="148" priority="66" stopIfTrue="1" operator="lessThan">
      <formula>0.99*(H26-H27)</formula>
    </cfRule>
  </conditionalFormatting>
  <conditionalFormatting sqref="H26 J26 L26 N26 P26 R26 T26 V26 X26 Z26 AB26 AD26 AF26 AH26 AJ26 AL26 AN26 AP26 AT26 AZ26 AV26 AX26">
    <cfRule type="cellIs" dxfId="147" priority="67" stopIfTrue="1" operator="lessThan">
      <formula>0.99*(H10+H22+H23+H24-H25)</formula>
    </cfRule>
  </conditionalFormatting>
  <conditionalFormatting sqref="BG27">
    <cfRule type="cellIs" dxfId="146" priority="9" stopIfTrue="1" operator="lessThan">
      <formula>#REF!+#REF!</formula>
    </cfRule>
    <cfRule type="cellIs" dxfId="145" priority="10" stopIfTrue="1" operator="lessThan">
      <formula>#REF!+BG30+BG31+BG32+BG34+#REF!</formula>
    </cfRule>
  </conditionalFormatting>
  <conditionalFormatting sqref="BG21">
    <cfRule type="cellIs" dxfId="144" priority="11" stopIfTrue="1" operator="lessThan">
      <formula>#REF!+#REF!</formula>
    </cfRule>
    <cfRule type="cellIs" dxfId="143" priority="12" stopIfTrue="1" operator="lessThan">
      <formula>BG23+BG24+BG25+BG26+#REF!+#REF!</formula>
    </cfRule>
  </conditionalFormatting>
  <conditionalFormatting sqref="BG22">
    <cfRule type="cellIs" dxfId="142" priority="13" stopIfTrue="1" operator="lessThan">
      <formula>#REF!+#REF!</formula>
    </cfRule>
    <cfRule type="cellIs" dxfId="141" priority="14" stopIfTrue="1" operator="lessThan">
      <formula>BG24+BG25+BG26+#REF!+#REF!+#REF!</formula>
    </cfRule>
  </conditionalFormatting>
  <conditionalFormatting sqref="BG8">
    <cfRule type="cellIs" dxfId="140" priority="15" stopIfTrue="1" operator="lessThan">
      <formula>#REF!+#REF!</formula>
    </cfRule>
    <cfRule type="cellIs" dxfId="139" priority="16" stopIfTrue="1" operator="lessThan">
      <formula>BG10+BG11+BG12+BG13+BG14+BG17</formula>
    </cfRule>
  </conditionalFormatting>
  <conditionalFormatting sqref="BG13">
    <cfRule type="cellIs" dxfId="138" priority="17" stopIfTrue="1" operator="lessThan">
      <formula>BG34+#REF!</formula>
    </cfRule>
    <cfRule type="cellIs" dxfId="137" priority="18" stopIfTrue="1" operator="lessThan">
      <formula>BG17+#REF!+#REF!+#REF!+#REF!+#REF!</formula>
    </cfRule>
  </conditionalFormatting>
  <conditionalFormatting sqref="BG12">
    <cfRule type="cellIs" dxfId="136" priority="19" stopIfTrue="1" operator="lessThan">
      <formula>BG31+#REF!</formula>
    </cfRule>
    <cfRule type="cellIs" dxfId="135" priority="20" stopIfTrue="1" operator="lessThan">
      <formula>BG14+BG17+#REF!+#REF!+#REF!+#REF!</formula>
    </cfRule>
  </conditionalFormatting>
  <conditionalFormatting sqref="BG36:BG37">
    <cfRule type="cellIs" dxfId="134" priority="21" stopIfTrue="1" operator="lessThan">
      <formula>#REF!+BG45</formula>
    </cfRule>
    <cfRule type="cellIs" dxfId="133" priority="22" stopIfTrue="1" operator="lessThan">
      <formula>#REF!+#REF!+#REF!+#REF!+#REF!+#REF!</formula>
    </cfRule>
  </conditionalFormatting>
  <conditionalFormatting sqref="BG38">
    <cfRule type="cellIs" dxfId="132" priority="23" stopIfTrue="1" operator="lessThan">
      <formula>#REF!+BG47</formula>
    </cfRule>
    <cfRule type="cellIs" dxfId="131" priority="24" stopIfTrue="1" operator="lessThan">
      <formula>#REF!+#REF!+#REF!+#REF!+#REF!+#REF!</formula>
    </cfRule>
  </conditionalFormatting>
  <conditionalFormatting sqref="BG53:DA53 BG50:DA50 BG44:DA44 BG47:DA47">
    <cfRule type="cellIs" dxfId="130" priority="25" stopIfTrue="1" operator="equal">
      <formula>"&lt;&gt;"</formula>
    </cfRule>
  </conditionalFormatting>
  <conditionalFormatting sqref="BX30:BY30 BY8:BY29 DA8:DA38 BY31:BY38 BU8:BU38 CS8:CS38 CQ8:CQ38 CO8:CO38 CM8:CM38 CK8:CK38 CI8:CI38 CG8:CG38 CE8:CE38 CC8:CC38 CA8:CA38 BW8:BW38 BS8:BS38 CU8:CU38 BK8:BK38 BM8:BM38 BO8:BO38 BQ8:BQ38">
    <cfRule type="cellIs" dxfId="129" priority="26" stopIfTrue="1" operator="equal">
      <formula>"&gt; 25%"</formula>
    </cfRule>
  </conditionalFormatting>
  <conditionalFormatting sqref="BI8:BI38">
    <cfRule type="cellIs" dxfId="128" priority="27" stopIfTrue="1" operator="equal">
      <formula>"&gt; 100%"</formula>
    </cfRule>
  </conditionalFormatting>
  <conditionalFormatting sqref="BG31">
    <cfRule type="cellIs" dxfId="127" priority="28" stopIfTrue="1" operator="lessThan">
      <formula>#REF!+#REF!</formula>
    </cfRule>
    <cfRule type="cellIs" dxfId="126" priority="29" stopIfTrue="1" operator="lessThan">
      <formula>BG34+#REF!+#REF!+#REF!+#REF!+#REF!</formula>
    </cfRule>
  </conditionalFormatting>
  <conditionalFormatting sqref="BG30">
    <cfRule type="cellIs" dxfId="125" priority="30" stopIfTrue="1" operator="lessThan">
      <formula>#REF!+#REF!</formula>
    </cfRule>
    <cfRule type="cellIs" dxfId="124" priority="31" stopIfTrue="1" operator="lessThan">
      <formula>BG32+BG34+#REF!+#REF!+#REF!+#REF!</formula>
    </cfRule>
  </conditionalFormatting>
  <conditionalFormatting sqref="BG32:BG33">
    <cfRule type="cellIs" dxfId="123" priority="32" stopIfTrue="1" operator="lessThan">
      <formula>#REF!+#REF!</formula>
    </cfRule>
    <cfRule type="cellIs" dxfId="122" priority="33" stopIfTrue="1" operator="lessThan">
      <formula>#REF!+#REF!+#REF!+#REF!+#REF!+#REF!</formula>
    </cfRule>
  </conditionalFormatting>
  <conditionalFormatting sqref="BG34:BG35">
    <cfRule type="cellIs" dxfId="121" priority="34" stopIfTrue="1" operator="lessThan">
      <formula>#REF!+BG44</formula>
    </cfRule>
    <cfRule type="cellIs" dxfId="120" priority="35" stopIfTrue="1" operator="lessThan">
      <formula>BG38+#REF!+#REF!+#REF!+#REF!+#REF!</formula>
    </cfRule>
  </conditionalFormatting>
  <conditionalFormatting sqref="BG25">
    <cfRule type="cellIs" dxfId="119" priority="36" stopIfTrue="1" operator="lessThan">
      <formula>BG43+#REF!</formula>
    </cfRule>
    <cfRule type="cellIs" dxfId="118" priority="37" stopIfTrue="1" operator="lessThan">
      <formula>#REF!+#REF!+#REF!+#REF!+#REF!+BG40</formula>
    </cfRule>
  </conditionalFormatting>
  <conditionalFormatting sqref="BG26">
    <cfRule type="cellIs" dxfId="117" priority="38" stopIfTrue="1" operator="lessThan">
      <formula>BG44+#REF!</formula>
    </cfRule>
    <cfRule type="cellIs" dxfId="116" priority="39" stopIfTrue="1" operator="lessThan">
      <formula>#REF!+#REF!+#REF!+#REF!+BG40+BG42</formula>
    </cfRule>
  </conditionalFormatting>
  <conditionalFormatting sqref="BG24">
    <cfRule type="cellIs" dxfId="115" priority="40" stopIfTrue="1" operator="lessThan">
      <formula>BG42+#REF!</formula>
    </cfRule>
    <cfRule type="cellIs" dxfId="114" priority="41" stopIfTrue="1" operator="lessThan">
      <formula>BG26+#REF!+#REF!+#REF!+#REF!+#REF!</formula>
    </cfRule>
  </conditionalFormatting>
  <conditionalFormatting sqref="BG23">
    <cfRule type="cellIs" dxfId="113" priority="42" stopIfTrue="1" operator="lessThan">
      <formula>BG40+#REF!</formula>
    </cfRule>
    <cfRule type="cellIs" dxfId="112" priority="43" stopIfTrue="1" operator="lessThan">
      <formula>BG25+BG26+#REF!+#REF!+#REF!+#REF!</formula>
    </cfRule>
  </conditionalFormatting>
  <conditionalFormatting sqref="CW8:CW38 CY8:CY38">
    <cfRule type="cellIs" dxfId="111" priority="8" stopIfTrue="1" operator="equal">
      <formula>"&gt; 25%"</formula>
    </cfRule>
  </conditionalFormatting>
  <conditionalFormatting sqref="BG9">
    <cfRule type="cellIs" dxfId="110" priority="44" stopIfTrue="1" operator="lessThan">
      <formula>#REF!+#REF!</formula>
    </cfRule>
    <cfRule type="cellIs" dxfId="109" priority="45" stopIfTrue="1" operator="lessThan">
      <formula>#REF!+BG12+BG13+BG14+BG17+#REF!</formula>
    </cfRule>
  </conditionalFormatting>
  <conditionalFormatting sqref="BG10">
    <cfRule type="cellIs" dxfId="108" priority="46" stopIfTrue="1" operator="lessThan">
      <formula>#REF!+#REF!</formula>
    </cfRule>
    <cfRule type="cellIs" dxfId="107" priority="47" stopIfTrue="1" operator="lessThan">
      <formula>BG12+BG13+BG14+BG17+#REF!+#REF!</formula>
    </cfRule>
  </conditionalFormatting>
  <conditionalFormatting sqref="BG11">
    <cfRule type="cellIs" dxfId="106" priority="48" stopIfTrue="1" operator="lessThan">
      <formula>#REF!+#REF!</formula>
    </cfRule>
    <cfRule type="cellIs" dxfId="105" priority="49" stopIfTrue="1" operator="lessThan">
      <formula>BG13+BG14+BG17+#REF!+#REF!+#REF!</formula>
    </cfRule>
  </conditionalFormatting>
  <conditionalFormatting sqref="BG19:BG20">
    <cfRule type="cellIs" dxfId="104" priority="50" stopIfTrue="1" operator="lessThan">
      <formula>#REF!+#REF!</formula>
    </cfRule>
    <cfRule type="cellIs" dxfId="103" priority="51" stopIfTrue="1" operator="lessThan">
      <formula>#REF!+BG23+BG24+BG25+BG26+#REF!</formula>
    </cfRule>
  </conditionalFormatting>
  <conditionalFormatting sqref="BG28">
    <cfRule type="cellIs" dxfId="102" priority="52" stopIfTrue="1" operator="lessThan">
      <formula>#REF!+#REF!</formula>
    </cfRule>
    <cfRule type="cellIs" dxfId="101" priority="53" stopIfTrue="1" operator="lessThan">
      <formula>BG30+BG31+BG32+BG34+#REF!+#REF!</formula>
    </cfRule>
  </conditionalFormatting>
  <conditionalFormatting sqref="BG29">
    <cfRule type="cellIs" dxfId="100" priority="54" stopIfTrue="1" operator="lessThan">
      <formula>#REF!+#REF!</formula>
    </cfRule>
    <cfRule type="cellIs" dxfId="99" priority="55" stopIfTrue="1" operator="lessThan">
      <formula>BG31+BG32+BG34+#REF!+#REF!+#REF!</formula>
    </cfRule>
  </conditionalFormatting>
  <conditionalFormatting sqref="BG16">
    <cfRule type="cellIs" dxfId="98" priority="56" stopIfTrue="1" operator="lessThan">
      <formula>BG39+#REF!</formula>
    </cfRule>
    <cfRule type="cellIs" dxfId="97" priority="57" stopIfTrue="1" operator="lessThan">
      <formula>#REF!+#REF!+#REF!+#REF!+#REF!+BG34</formula>
    </cfRule>
  </conditionalFormatting>
  <conditionalFormatting sqref="BG14">
    <cfRule type="cellIs" dxfId="96" priority="58" stopIfTrue="1" operator="lessThan">
      <formula>BG36+#REF!</formula>
    </cfRule>
    <cfRule type="cellIs" dxfId="95" priority="59" stopIfTrue="1" operator="lessThan">
      <formula>#REF!+#REF!+#REF!+#REF!+#REF!+BG31</formula>
    </cfRule>
  </conditionalFormatting>
  <conditionalFormatting sqref="BG17">
    <cfRule type="cellIs" dxfId="94" priority="60" stopIfTrue="1" operator="lessThan">
      <formula>BG38+#REF!</formula>
    </cfRule>
    <cfRule type="cellIs" dxfId="93" priority="61" stopIfTrue="1" operator="lessThan">
      <formula>#REF!+#REF!+#REF!+#REF!+BG31+BG34</formula>
    </cfRule>
  </conditionalFormatting>
  <conditionalFormatting sqref="BG18">
    <cfRule type="cellIs" dxfId="92" priority="62" stopIfTrue="1" operator="lessThan">
      <formula>BG39+#REF!</formula>
    </cfRule>
    <cfRule type="cellIs" dxfId="91" priority="63" stopIfTrue="1" operator="lessThan">
      <formula>#REF!+#REF!+#REF!+#REF!+BG32+BG36</formula>
    </cfRule>
  </conditionalFormatting>
  <conditionalFormatting sqref="BG15">
    <cfRule type="cellIs" dxfId="90" priority="64" stopIfTrue="1" operator="lessThan">
      <formula>BG38+#REF!</formula>
    </cfRule>
    <cfRule type="cellIs" dxfId="89" priority="65" stopIfTrue="1" operator="lessThan">
      <formula>#REF!+#REF!+#REF!+#REF!+#REF!+BG32</formula>
    </cfRule>
  </conditionalFormatting>
  <conditionalFormatting sqref="AT10">
    <cfRule type="cellIs" dxfId="88" priority="7" stopIfTrue="1" operator="lessThan">
      <formula>AT8+AT9-(0.01*(AT8+AT9))</formula>
    </cfRule>
  </conditionalFormatting>
  <conditionalFormatting sqref="AV10">
    <cfRule type="cellIs" dxfId="87" priority="6" stopIfTrue="1" operator="lessThan">
      <formula>AV8+AV9-(0.01*(AV8+AV9))</formula>
    </cfRule>
  </conditionalFormatting>
  <conditionalFormatting sqref="AX10">
    <cfRule type="cellIs" dxfId="86" priority="5" stopIfTrue="1" operator="lessThan">
      <formula>AX8+AX9-(0.01*(AX8+AX9))</formula>
    </cfRule>
  </conditionalFormatting>
  <conditionalFormatting sqref="AZ10">
    <cfRule type="cellIs" dxfId="85" priority="4" stopIfTrue="1" operator="lessThan">
      <formula>AZ8+AZ9-(0.01*(AZ8+AZ9))</formula>
    </cfRule>
  </conditionalFormatting>
  <conditionalFormatting sqref="AR10">
    <cfRule type="cellIs" dxfId="84" priority="3" stopIfTrue="1" operator="lessThan">
      <formula>AR8+AR9-(0.01*(AR8+AR9))</formula>
    </cfRule>
  </conditionalFormatting>
  <conditionalFormatting sqref="AR28">
    <cfRule type="cellIs" dxfId="83" priority="1" stopIfTrue="1" operator="lessThan">
      <formula>0.99*(AR26-AR27)</formula>
    </cfRule>
  </conditionalFormatting>
  <conditionalFormatting sqref="AR26">
    <cfRule type="cellIs" dxfId="82" priority="2" stopIfTrue="1" operator="lessThan">
      <formula>0.99*(AR10+AR22+AR23+AR24-AR25)</formula>
    </cfRule>
  </conditionalFormatting>
  <printOptions horizontalCentered="1"/>
  <pageMargins left="0.5" right="0.5" top="0.75" bottom="0.75" header="0.5" footer="0.5"/>
  <pageSetup paperSize="9" scale="53" firstPageNumber="17" fitToHeight="0" orientation="landscape" r:id="rId1"/>
  <headerFooter alignWithMargins="0">
    <oddFooter>&amp;C&amp;"Arial,Regular"UNSD/Programa de las Naciones Unidas para el Medio Ambiente Cuestionario 2018 Estadisticas Ambientales -  Sección del Agua -  &amp;P</oddFooter>
  </headerFooter>
  <rowBreaks count="1" manualBreakCount="1">
    <brk id="43" min="2" max="53" man="1"/>
  </rowBreaks>
  <ignoredErrors>
    <ignoredError sqref="AT10:AX36"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fitToPage="1"/>
  </sheetPr>
  <dimension ref="A1:DA73"/>
  <sheetViews>
    <sheetView showGridLines="0" topLeftCell="C1" zoomScale="85" zoomScaleNormal="85" zoomScaleSheetLayoutView="85" zoomScalePageLayoutView="85" workbookViewId="0">
      <selection activeCell="F8" sqref="F8"/>
    </sheetView>
  </sheetViews>
  <sheetFormatPr defaultColWidth="9.33203125" defaultRowHeight="12.75" x14ac:dyDescent="0.2"/>
  <cols>
    <col min="1" max="1" width="4.5" style="198" hidden="1" customWidth="1"/>
    <col min="2" max="2" width="6.1640625" style="199" hidden="1" customWidth="1"/>
    <col min="3" max="3" width="8.33203125" style="211" customWidth="1"/>
    <col min="4" max="4" width="40" style="211" customWidth="1"/>
    <col min="5" max="5" width="10.1640625" style="211" customWidth="1"/>
    <col min="6" max="6" width="8" style="211" customWidth="1"/>
    <col min="7" max="7" width="1.83203125" style="211" customWidth="1"/>
    <col min="8" max="8" width="7" style="239" customWidth="1"/>
    <col min="9" max="9" width="1.83203125" style="240" customWidth="1"/>
    <col min="10" max="10" width="7.1640625" style="240" customWidth="1"/>
    <col min="11" max="11" width="1.83203125" style="240" customWidth="1"/>
    <col min="12" max="12" width="7.1640625" style="240" customWidth="1"/>
    <col min="13" max="13" width="1.83203125" style="240" customWidth="1"/>
    <col min="14" max="14" width="7.1640625" style="240"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40" customWidth="1"/>
    <col min="49" max="49" width="1.83203125" style="240" customWidth="1"/>
    <col min="50" max="50" width="7" style="239" customWidth="1"/>
    <col min="51" max="51" width="1.83203125" style="240" customWidth="1"/>
    <col min="52" max="52" width="7" style="239" customWidth="1"/>
    <col min="53" max="53" width="1.83203125" style="240" customWidth="1"/>
    <col min="54" max="54" width="1.83203125" style="211" customWidth="1"/>
    <col min="55" max="55" width="4.83203125" style="209" customWidth="1"/>
    <col min="56" max="56" width="7.1640625" style="209" customWidth="1"/>
    <col min="57" max="57" width="36.1640625" style="209" customWidth="1"/>
    <col min="58" max="58" width="10.6640625" style="209" customWidth="1"/>
    <col min="59" max="59" width="5.1640625" style="209" customWidth="1"/>
    <col min="60" max="60" width="2.1640625" style="209" customWidth="1"/>
    <col min="61" max="61" width="5.1640625" style="209" customWidth="1"/>
    <col min="62" max="62" width="1.5" style="209" customWidth="1"/>
    <col min="63" max="63" width="5.1640625" style="209" customWidth="1"/>
    <col min="64" max="64" width="1.5" style="209" customWidth="1"/>
    <col min="65" max="65" width="5.1640625" style="209" customWidth="1"/>
    <col min="66" max="66" width="1.5" style="209" customWidth="1"/>
    <col min="67" max="67" width="5.1640625" style="209" customWidth="1"/>
    <col min="68" max="68" width="1.5" style="209" customWidth="1"/>
    <col min="69" max="69" width="5.1640625" style="209" customWidth="1"/>
    <col min="70" max="70" width="1.5" style="209" customWidth="1"/>
    <col min="71" max="71" width="5.1640625" style="209" customWidth="1"/>
    <col min="72" max="72" width="1.5" style="209" customWidth="1"/>
    <col min="73" max="73" width="5.1640625" style="209" customWidth="1"/>
    <col min="74" max="74" width="1.5" style="209" customWidth="1"/>
    <col min="75" max="75" width="5.1640625" style="209" customWidth="1"/>
    <col min="76" max="76" width="1.5" style="209" customWidth="1"/>
    <col min="77" max="77" width="5.1640625" style="209" customWidth="1"/>
    <col min="78" max="78" width="1.5" style="209" customWidth="1"/>
    <col min="79" max="79" width="5.1640625" style="209" customWidth="1"/>
    <col min="80" max="80" width="1.5" style="209" customWidth="1"/>
    <col min="81" max="81" width="5.1640625" style="209" customWidth="1"/>
    <col min="82" max="82" width="1.5" style="209" customWidth="1"/>
    <col min="83" max="83" width="5.1640625" style="209" customWidth="1"/>
    <col min="84" max="84" width="1.5" style="209" customWidth="1"/>
    <col min="85" max="85" width="5.1640625" style="209" customWidth="1"/>
    <col min="86" max="86" width="1.5" style="209" customWidth="1"/>
    <col min="87" max="87" width="5.1640625" style="209" customWidth="1"/>
    <col min="88" max="88" width="1.5" style="209" customWidth="1"/>
    <col min="89" max="89" width="5.1640625" style="209" customWidth="1"/>
    <col min="90" max="90" width="1.5" style="209" customWidth="1"/>
    <col min="91" max="91" width="5.1640625" style="209" customWidth="1"/>
    <col min="92" max="92" width="1.5" style="209" customWidth="1"/>
    <col min="93" max="93" width="5.1640625" style="209" customWidth="1"/>
    <col min="94" max="94" width="1.5" style="209" customWidth="1"/>
    <col min="95" max="95" width="5.1640625" style="209" customWidth="1"/>
    <col min="96" max="96" width="1.5" style="209" customWidth="1"/>
    <col min="97" max="97" width="5.1640625" style="209" customWidth="1"/>
    <col min="98" max="98" width="1.5" style="209" customWidth="1"/>
    <col min="99" max="99" width="5.1640625" style="209" customWidth="1"/>
    <col min="100" max="100" width="1.5" style="209" customWidth="1"/>
    <col min="101" max="101" width="5.1640625" style="209" customWidth="1"/>
    <col min="102" max="102" width="1.5" style="209" customWidth="1"/>
    <col min="103" max="103" width="5.1640625" style="209" customWidth="1"/>
    <col min="104" max="104" width="1.5" style="209" customWidth="1"/>
    <col min="105" max="105" width="5.1640625" style="209" customWidth="1"/>
    <col min="106" max="16384" width="9.33203125" style="211"/>
  </cols>
  <sheetData>
    <row r="1" spans="1:105" s="452" customFormat="1" ht="16.5" customHeight="1" x14ac:dyDescent="0.25">
      <c r="A1" s="451"/>
      <c r="B1" s="199">
        <v>0</v>
      </c>
      <c r="C1" s="200" t="s">
        <v>395</v>
      </c>
      <c r="D1" s="200"/>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354"/>
      <c r="AP1" s="354"/>
      <c r="AQ1" s="354"/>
      <c r="AR1" s="354"/>
      <c r="AS1" s="354"/>
      <c r="AT1" s="353"/>
      <c r="AU1" s="354"/>
      <c r="AV1" s="354"/>
      <c r="AW1" s="354"/>
      <c r="AX1" s="353"/>
      <c r="AY1" s="354"/>
      <c r="AZ1" s="353"/>
      <c r="BA1" s="354"/>
      <c r="BB1" s="354"/>
      <c r="BC1" s="233"/>
      <c r="BD1" s="210" t="s">
        <v>465</v>
      </c>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row>
    <row r="2" spans="1:105" ht="6" customHeight="1" x14ac:dyDescent="0.2">
      <c r="E2" s="358"/>
      <c r="F2" s="358"/>
      <c r="G2" s="358"/>
      <c r="H2" s="359"/>
      <c r="I2" s="360"/>
      <c r="J2" s="360"/>
      <c r="K2" s="360"/>
      <c r="L2" s="360"/>
      <c r="M2" s="360"/>
      <c r="N2" s="360"/>
      <c r="O2" s="360"/>
      <c r="P2" s="361"/>
      <c r="Q2" s="360"/>
      <c r="R2" s="361"/>
      <c r="S2" s="360"/>
      <c r="T2" s="361"/>
      <c r="U2" s="360"/>
      <c r="V2" s="361"/>
      <c r="W2" s="360"/>
      <c r="X2" s="362"/>
    </row>
    <row r="3" spans="1:105" s="379" customFormat="1" ht="17.25" customHeight="1" x14ac:dyDescent="0.25">
      <c r="A3" s="302"/>
      <c r="B3" s="302">
        <v>170</v>
      </c>
      <c r="C3" s="363" t="s">
        <v>518</v>
      </c>
      <c r="D3" s="28" t="s">
        <v>248</v>
      </c>
      <c r="E3" s="443"/>
      <c r="F3" s="444"/>
      <c r="G3" s="445"/>
      <c r="H3" s="446"/>
      <c r="I3" s="447"/>
      <c r="J3" s="447"/>
      <c r="K3" s="447"/>
      <c r="L3" s="447"/>
      <c r="M3" s="447"/>
      <c r="N3" s="447"/>
      <c r="O3" s="447"/>
      <c r="P3" s="446"/>
      <c r="Q3" s="447"/>
      <c r="R3" s="446"/>
      <c r="S3" s="447"/>
      <c r="T3" s="446"/>
      <c r="U3" s="447"/>
      <c r="V3" s="446"/>
      <c r="W3" s="445"/>
      <c r="X3" s="446"/>
      <c r="Y3" s="448"/>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453"/>
      <c r="BD3" s="370" t="s">
        <v>441</v>
      </c>
      <c r="BE3" s="454"/>
      <c r="BF3" s="454"/>
      <c r="BG3" s="377"/>
      <c r="BH3" s="377"/>
      <c r="BI3" s="377"/>
      <c r="BJ3" s="377"/>
      <c r="BK3" s="842"/>
      <c r="BL3" s="842"/>
      <c r="BM3" s="842"/>
      <c r="BN3" s="456"/>
      <c r="BO3" s="456"/>
      <c r="BP3" s="456"/>
      <c r="BQ3" s="842"/>
      <c r="BR3" s="842"/>
      <c r="BS3" s="842"/>
      <c r="BT3" s="456"/>
      <c r="BU3" s="456"/>
      <c r="BV3" s="456"/>
      <c r="BW3" s="456"/>
      <c r="BX3" s="456"/>
      <c r="BY3" s="456"/>
      <c r="BZ3" s="456"/>
      <c r="CA3" s="377"/>
      <c r="CB3" s="377"/>
      <c r="CC3" s="377"/>
      <c r="CD3" s="377"/>
      <c r="CE3" s="377"/>
      <c r="CF3" s="377"/>
      <c r="CG3" s="457"/>
      <c r="CH3" s="457"/>
      <c r="CI3" s="457"/>
      <c r="CJ3" s="457"/>
      <c r="CK3" s="377"/>
      <c r="CL3" s="377"/>
      <c r="CM3" s="377"/>
      <c r="CN3" s="377"/>
      <c r="CO3" s="377"/>
      <c r="CP3" s="377"/>
      <c r="CQ3" s="377"/>
      <c r="CR3" s="377"/>
      <c r="CS3" s="377"/>
      <c r="CT3" s="377"/>
      <c r="CU3" s="377"/>
      <c r="CV3" s="377"/>
      <c r="CW3" s="377"/>
      <c r="CX3" s="377"/>
      <c r="CY3" s="377"/>
      <c r="CZ3" s="377"/>
      <c r="DA3" s="377"/>
    </row>
    <row r="4" spans="1:105" ht="5.25" customHeight="1" x14ac:dyDescent="0.2">
      <c r="E4" s="380"/>
      <c r="F4" s="380"/>
      <c r="G4" s="380"/>
      <c r="Y4" s="367"/>
      <c r="Z4" s="362"/>
      <c r="AL4" s="359"/>
      <c r="AM4" s="360"/>
      <c r="BD4" s="342"/>
    </row>
    <row r="5" spans="1:105" s="452" customFormat="1" ht="17.25" customHeight="1" x14ac:dyDescent="0.25">
      <c r="A5" s="451"/>
      <c r="B5" s="199">
        <v>17</v>
      </c>
      <c r="C5" s="802" t="s">
        <v>62</v>
      </c>
      <c r="D5" s="802"/>
      <c r="E5" s="864"/>
      <c r="F5" s="864"/>
      <c r="G5" s="864"/>
      <c r="H5" s="864"/>
      <c r="I5" s="804"/>
      <c r="J5" s="804"/>
      <c r="K5" s="804"/>
      <c r="L5" s="804"/>
      <c r="M5" s="804"/>
      <c r="N5" s="804"/>
      <c r="O5" s="804"/>
      <c r="P5" s="804"/>
      <c r="Q5" s="804"/>
      <c r="R5" s="804"/>
      <c r="S5" s="804"/>
      <c r="T5" s="804"/>
      <c r="U5" s="804"/>
      <c r="V5" s="804"/>
      <c r="W5" s="804"/>
      <c r="X5" s="864"/>
      <c r="Y5" s="804"/>
      <c r="Z5" s="864"/>
      <c r="AA5" s="804"/>
      <c r="AB5" s="864"/>
      <c r="AC5" s="804"/>
      <c r="AD5" s="864"/>
      <c r="AE5" s="804"/>
      <c r="AF5" s="864"/>
      <c r="AG5" s="804"/>
      <c r="AH5" s="864"/>
      <c r="AI5" s="804"/>
      <c r="AJ5" s="804"/>
      <c r="AK5" s="804"/>
      <c r="AL5" s="864"/>
      <c r="AM5" s="804"/>
      <c r="AN5" s="864"/>
      <c r="AO5" s="381"/>
      <c r="AP5" s="381"/>
      <c r="AQ5" s="381"/>
      <c r="AR5" s="381"/>
      <c r="AS5" s="381"/>
      <c r="AT5" s="382"/>
      <c r="AU5" s="381"/>
      <c r="AV5" s="381"/>
      <c r="AW5" s="381"/>
      <c r="AX5" s="382"/>
      <c r="AY5" s="381"/>
      <c r="AZ5" s="382"/>
      <c r="BA5" s="381"/>
      <c r="BB5" s="459"/>
      <c r="BC5" s="233"/>
      <c r="BD5" s="383" t="s">
        <v>442</v>
      </c>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row>
    <row r="6" spans="1:105" s="461" customFormat="1" ht="25.5" customHeight="1" x14ac:dyDescent="0.25">
      <c r="A6" s="460"/>
      <c r="B6" s="199"/>
      <c r="C6" s="452"/>
      <c r="D6" s="452"/>
      <c r="E6" s="852" t="s">
        <v>408</v>
      </c>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865"/>
      <c r="AK6" s="866"/>
      <c r="AL6" s="866"/>
      <c r="AM6" s="866"/>
      <c r="AN6" s="866"/>
      <c r="AO6" s="866"/>
      <c r="AP6" s="866"/>
      <c r="AQ6" s="866"/>
      <c r="AR6" s="866"/>
      <c r="AS6" s="866"/>
      <c r="AT6" s="866"/>
      <c r="AU6" s="866"/>
      <c r="AV6" s="866"/>
      <c r="AW6" s="866"/>
      <c r="AX6" s="866"/>
      <c r="AY6" s="866"/>
      <c r="AZ6" s="866"/>
      <c r="BA6" s="866"/>
      <c r="BB6" s="343"/>
      <c r="BC6" s="462"/>
      <c r="BD6" s="388" t="s">
        <v>437</v>
      </c>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3"/>
      <c r="CU6" s="493"/>
      <c r="CV6" s="493"/>
      <c r="CW6" s="493"/>
      <c r="CX6" s="493"/>
      <c r="CY6" s="493"/>
      <c r="CZ6" s="493"/>
      <c r="DA6" s="493"/>
    </row>
    <row r="7" spans="1:105" s="254" customFormat="1" ht="21.75" customHeight="1" x14ac:dyDescent="0.2">
      <c r="A7" s="249"/>
      <c r="B7" s="250">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C7" s="249"/>
      <c r="BD7" s="252" t="s">
        <v>201</v>
      </c>
      <c r="BE7" s="252" t="s">
        <v>202</v>
      </c>
      <c r="BF7" s="252" t="s">
        <v>203</v>
      </c>
      <c r="BG7" s="251">
        <v>1990</v>
      </c>
      <c r="BH7" s="251"/>
      <c r="BI7" s="252">
        <v>1995</v>
      </c>
      <c r="BJ7" s="252"/>
      <c r="BK7" s="252">
        <v>1996</v>
      </c>
      <c r="BL7" s="252"/>
      <c r="BM7" s="252">
        <v>1997</v>
      </c>
      <c r="BN7" s="252"/>
      <c r="BO7" s="252">
        <v>1998</v>
      </c>
      <c r="BP7" s="252"/>
      <c r="BQ7" s="252">
        <v>1999</v>
      </c>
      <c r="BR7" s="252"/>
      <c r="BS7" s="252">
        <v>2000</v>
      </c>
      <c r="BT7" s="252"/>
      <c r="BU7" s="252">
        <v>2001</v>
      </c>
      <c r="BV7" s="252"/>
      <c r="BW7" s="252">
        <v>2002</v>
      </c>
      <c r="BX7" s="252"/>
      <c r="BY7" s="252">
        <v>2003</v>
      </c>
      <c r="BZ7" s="252"/>
      <c r="CA7" s="252">
        <v>2004</v>
      </c>
      <c r="CB7" s="252"/>
      <c r="CC7" s="252">
        <v>2005</v>
      </c>
      <c r="CD7" s="252"/>
      <c r="CE7" s="252">
        <v>2006</v>
      </c>
      <c r="CF7" s="252"/>
      <c r="CG7" s="252">
        <v>2007</v>
      </c>
      <c r="CH7" s="252"/>
      <c r="CI7" s="252">
        <v>2008</v>
      </c>
      <c r="CJ7" s="252"/>
      <c r="CK7" s="252">
        <v>2009</v>
      </c>
      <c r="CL7" s="252"/>
      <c r="CM7" s="252">
        <v>2010</v>
      </c>
      <c r="CN7" s="252"/>
      <c r="CO7" s="252">
        <v>2011</v>
      </c>
      <c r="CP7" s="252"/>
      <c r="CQ7" s="252">
        <v>2012</v>
      </c>
      <c r="CR7" s="252"/>
      <c r="CS7" s="252">
        <v>2013</v>
      </c>
      <c r="CT7" s="252"/>
      <c r="CU7" s="252">
        <v>2014</v>
      </c>
      <c r="CV7" s="252"/>
      <c r="CW7" s="252">
        <v>2015</v>
      </c>
      <c r="CX7" s="252"/>
      <c r="CY7" s="252">
        <v>2016</v>
      </c>
      <c r="CZ7" s="252"/>
      <c r="DA7" s="252">
        <v>2017</v>
      </c>
    </row>
    <row r="8" spans="1:105" s="220" customFormat="1" ht="36" customHeight="1" x14ac:dyDescent="0.2">
      <c r="A8" s="198"/>
      <c r="B8" s="257">
        <v>275</v>
      </c>
      <c r="C8" s="398">
        <v>1</v>
      </c>
      <c r="D8" s="276" t="s">
        <v>50</v>
      </c>
      <c r="E8" s="394" t="s">
        <v>558</v>
      </c>
      <c r="F8" s="573"/>
      <c r="G8" s="594"/>
      <c r="H8" s="573"/>
      <c r="I8" s="594"/>
      <c r="J8" s="573"/>
      <c r="K8" s="594"/>
      <c r="L8" s="573"/>
      <c r="M8" s="594"/>
      <c r="N8" s="573"/>
      <c r="O8" s="594"/>
      <c r="P8" s="573"/>
      <c r="Q8" s="594"/>
      <c r="R8" s="573"/>
      <c r="S8" s="594"/>
      <c r="T8" s="573"/>
      <c r="U8" s="594"/>
      <c r="V8" s="573"/>
      <c r="W8" s="594"/>
      <c r="X8" s="573"/>
      <c r="Y8" s="594"/>
      <c r="Z8" s="573"/>
      <c r="AA8" s="594"/>
      <c r="AB8" s="573"/>
      <c r="AC8" s="594"/>
      <c r="AD8" s="573"/>
      <c r="AE8" s="594"/>
      <c r="AF8" s="573"/>
      <c r="AG8" s="594"/>
      <c r="AH8" s="573"/>
      <c r="AI8" s="594"/>
      <c r="AJ8" s="573"/>
      <c r="AK8" s="594"/>
      <c r="AL8" s="573"/>
      <c r="AM8" s="594"/>
      <c r="AN8" s="573"/>
      <c r="AO8" s="594"/>
      <c r="AP8" s="573"/>
      <c r="AQ8" s="594"/>
      <c r="AR8" s="692"/>
      <c r="AS8" s="594"/>
      <c r="AT8" s="573">
        <f>[1]OFERTA_2014!$AK$29</f>
        <v>3138.5117944402564</v>
      </c>
      <c r="AU8" s="594" t="s">
        <v>21</v>
      </c>
      <c r="AV8" s="573">
        <f>[1]OFERTA_2015!$AK$29</f>
        <v>3200.4673594788655</v>
      </c>
      <c r="AW8" s="594" t="s">
        <v>21</v>
      </c>
      <c r="AX8" s="573">
        <f>[1]OFERTA_2016p!$AK$29</f>
        <v>3128.5851102366869</v>
      </c>
      <c r="AY8" s="594" t="s">
        <v>21</v>
      </c>
      <c r="AZ8" s="573"/>
      <c r="BA8" s="594"/>
      <c r="BC8" s="209"/>
      <c r="BD8" s="642">
        <v>1</v>
      </c>
      <c r="BE8" s="653" t="s">
        <v>388</v>
      </c>
      <c r="BF8" s="612" t="s">
        <v>205</v>
      </c>
      <c r="BG8" s="265" t="s">
        <v>466</v>
      </c>
      <c r="BH8" s="270"/>
      <c r="BI8" s="79" t="str">
        <f>IF(OR(ISBLANK(F8),ISBLANK(H8)),"N/A",IF(ABS((H8-F8)/F8)&gt;1,"&gt; 100%","ok"))</f>
        <v>N/A</v>
      </c>
      <c r="BJ8" s="270"/>
      <c r="BK8" s="82" t="str">
        <f>IF(OR(ISBLANK(H8),ISBLANK(J8)),"N/A",IF(ABS((J8-H8)/H8)&gt;0.25,"&gt; 25%","ok"))</f>
        <v>N/A</v>
      </c>
      <c r="BL8" s="82"/>
      <c r="BM8" s="82" t="str">
        <f>IF(OR(ISBLANK(J8),ISBLANK(L8)),"N/A",IF(ABS((L8-J8)/J8)&gt;0.25,"&gt; 25%","ok"))</f>
        <v>N/A</v>
      </c>
      <c r="BN8" s="82"/>
      <c r="BO8" s="82" t="str">
        <f>IF(OR(ISBLANK(L8),ISBLANK(N8)),"N/A",IF(ABS((N8-L8)/L8)&gt;0.25,"&gt; 25%","ok"))</f>
        <v>N/A</v>
      </c>
      <c r="BP8" s="82"/>
      <c r="BQ8" s="82" t="str">
        <f>IF(OR(ISBLANK(N8),ISBLANK(P8)),"N/A",IF(ABS((P8-N8)/N8)&gt;0.25,"&gt; 25%","ok"))</f>
        <v>N/A</v>
      </c>
      <c r="BR8" s="82"/>
      <c r="BS8" s="82" t="str">
        <f>IF(OR(ISBLANK(P8),ISBLANK(R8)),"N/A",IF(ABS((R8-P8)/P8)&gt;0.25,"&gt; 25%","ok"))</f>
        <v>N/A</v>
      </c>
      <c r="BT8" s="82"/>
      <c r="BU8" s="82" t="str">
        <f>IF(OR(ISBLANK(R8),ISBLANK(T8)),"N/A",IF(ABS((T8-R8)/R8)&gt;0.25,"&gt; 25%","ok"))</f>
        <v>N/A</v>
      </c>
      <c r="BV8" s="82"/>
      <c r="BW8" s="82" t="str">
        <f>IF(OR(ISBLANK(T8),ISBLANK(V8)),"N/A",IF(ABS((V8-T8)/T8)&gt;0.25,"&gt; 25%","ok"))</f>
        <v>N/A</v>
      </c>
      <c r="BX8" s="82"/>
      <c r="BY8" s="82" t="str">
        <f>IF(OR(ISBLANK(V8),ISBLANK(X8)),"N/A",IF(ABS((X8-V8)/V8)&gt;0.25,"&gt; 25%","ok"))</f>
        <v>N/A</v>
      </c>
      <c r="BZ8" s="82"/>
      <c r="CA8" s="82" t="str">
        <f>IF(OR(ISBLANK(X8),ISBLANK(Z8)),"N/A",IF(ABS((Z8-X8)/X8)&gt;0.25,"&gt; 25%","ok"))</f>
        <v>N/A</v>
      </c>
      <c r="CB8" s="82"/>
      <c r="CC8" s="82" t="str">
        <f>IF(OR(ISBLANK(Z8),ISBLANK(AB8)),"N/A",IF(ABS((AB8-Z8)/Z8)&gt;0.25,"&gt; 25%","ok"))</f>
        <v>N/A</v>
      </c>
      <c r="CD8" s="82"/>
      <c r="CE8" s="82" t="str">
        <f>IF(OR(ISBLANK(AB8),ISBLANK(AD8)),"N/A",IF(ABS((AD8-AB8)/AB8)&gt;0.25,"&gt; 25%","ok"))</f>
        <v>N/A</v>
      </c>
      <c r="CF8" s="82"/>
      <c r="CG8" s="82" t="str">
        <f>IF(OR(ISBLANK(AD8),ISBLANK(AF8)),"N/A",IF(ABS((AF8-AD8)/AD8)&gt;0.25,"&gt; 25%","ok"))</f>
        <v>N/A</v>
      </c>
      <c r="CH8" s="82"/>
      <c r="CI8" s="82" t="str">
        <f>IF(OR(ISBLANK(AF8),ISBLANK(AH8)),"N/A",IF(ABS((AH8-AF8)/AF8)&gt;0.25,"&gt; 25%","ok"))</f>
        <v>N/A</v>
      </c>
      <c r="CJ8" s="82"/>
      <c r="CK8" s="82" t="str">
        <f>IF(OR(ISBLANK(AH8),ISBLANK(AJ8)),"N/A",IF(ABS((AJ8-AH8)/AH8)&gt;0.25,"&gt; 25%","ok"))</f>
        <v>N/A</v>
      </c>
      <c r="CL8" s="82"/>
      <c r="CM8" s="82" t="str">
        <f>IF(OR(ISBLANK(AJ8),ISBLANK(AL8)),"N/A",IF(ABS((AL8-AJ8)/AJ8)&gt;0.25,"&gt; 25%","ok"))</f>
        <v>N/A</v>
      </c>
      <c r="CN8" s="82"/>
      <c r="CO8" s="82" t="str">
        <f>IF(OR(ISBLANK(AL8),ISBLANK(AN8)),"N/A",IF(ABS((AN8-AL8)/AL8)&gt;0.25,"&gt; 25%","ok"))</f>
        <v>N/A</v>
      </c>
      <c r="CP8" s="82"/>
      <c r="CQ8" s="82" t="str">
        <f>IF(OR(ISBLANK(AN8),ISBLANK(AP8)),"N/A",IF(ABS((AP8-AN8)/AN8)&gt;0.25,"&gt; 25%","ok"))</f>
        <v>N/A</v>
      </c>
      <c r="CR8" s="82"/>
      <c r="CS8" s="82" t="str">
        <f>IF(OR(ISBLANK(AP8),ISBLANK(AR8)),"N/A",IF(ABS((AR8-AP8)/AP8)&gt;0.25,"&gt; 25%","ok"))</f>
        <v>N/A</v>
      </c>
      <c r="CT8" s="82"/>
      <c r="CU8" s="82" t="str">
        <f>IF(OR(ISBLANK(AR8),ISBLANK(AT8)),"N/A",IF(ABS((AT8-AR8)/AR8)&gt;0.25,"&gt; 25%","ok"))</f>
        <v>N/A</v>
      </c>
      <c r="CV8" s="82"/>
      <c r="CW8" s="82" t="str">
        <f>IF(OR(ISBLANK(AT8),ISBLANK(AV8)),"N/A",IF(ABS((AV8-AT8)/AT8)&gt;0.25,"&gt; 25%","ok"))</f>
        <v>ok</v>
      </c>
      <c r="CX8" s="82"/>
      <c r="CY8" s="82" t="str">
        <f>IF(OR(ISBLANK(AV8),ISBLANK(AX8)),"N/A",IF(ABS((AX8-AV8)/AV8)&gt;0.25,"&gt; 25%","ok"))</f>
        <v>ok</v>
      </c>
      <c r="CZ8" s="82"/>
      <c r="DA8" s="82" t="str">
        <f>IF(OR(ISBLANK(AX8),ISBLANK(AZ8)),"N/A",IF(ABS((AZ8-AX8)/AX8)&gt;0.25,"&gt; 25%","ok"))</f>
        <v>N/A</v>
      </c>
    </row>
    <row r="9" spans="1:105" s="220" customFormat="1" ht="18.95" customHeight="1" x14ac:dyDescent="0.2">
      <c r="A9" s="198"/>
      <c r="B9" s="257">
        <v>2416</v>
      </c>
      <c r="C9" s="394">
        <v>2</v>
      </c>
      <c r="D9" s="274" t="s">
        <v>63</v>
      </c>
      <c r="E9" s="394" t="s">
        <v>558</v>
      </c>
      <c r="F9" s="573"/>
      <c r="G9" s="594"/>
      <c r="H9" s="573"/>
      <c r="I9" s="594"/>
      <c r="J9" s="573"/>
      <c r="K9" s="594"/>
      <c r="L9" s="573"/>
      <c r="M9" s="594"/>
      <c r="N9" s="573"/>
      <c r="O9" s="594"/>
      <c r="P9" s="573"/>
      <c r="Q9" s="594"/>
      <c r="R9" s="573"/>
      <c r="S9" s="594"/>
      <c r="T9" s="573"/>
      <c r="U9" s="594"/>
      <c r="V9" s="573"/>
      <c r="W9" s="594"/>
      <c r="X9" s="573"/>
      <c r="Y9" s="594"/>
      <c r="Z9" s="573"/>
      <c r="AA9" s="594"/>
      <c r="AB9" s="573"/>
      <c r="AC9" s="594"/>
      <c r="AD9" s="573"/>
      <c r="AE9" s="594"/>
      <c r="AF9" s="573"/>
      <c r="AG9" s="594"/>
      <c r="AH9" s="573"/>
      <c r="AI9" s="594"/>
      <c r="AJ9" s="573"/>
      <c r="AK9" s="594"/>
      <c r="AL9" s="573"/>
      <c r="AM9" s="594"/>
      <c r="AN9" s="573"/>
      <c r="AO9" s="594"/>
      <c r="AP9" s="573"/>
      <c r="AQ9" s="594"/>
      <c r="AR9" s="692"/>
      <c r="AS9" s="594"/>
      <c r="AT9" s="573"/>
      <c r="AU9" s="594"/>
      <c r="AV9" s="573"/>
      <c r="AW9" s="594"/>
      <c r="AX9" s="573"/>
      <c r="AY9" s="594"/>
      <c r="AZ9" s="573"/>
      <c r="BA9" s="594"/>
      <c r="BC9" s="209"/>
      <c r="BD9" s="612">
        <v>2</v>
      </c>
      <c r="BE9" s="654" t="s">
        <v>389</v>
      </c>
      <c r="BF9" s="612" t="s">
        <v>205</v>
      </c>
      <c r="BG9" s="81" t="s">
        <v>466</v>
      </c>
      <c r="BH9" s="270"/>
      <c r="BI9" s="79" t="str">
        <f>IF(OR(ISBLANK(F9),ISBLANK(H9)),"N/A",IF(ABS((H9-F9)/F9)&gt;1,"&gt; 100%","ok"))</f>
        <v>N/A</v>
      </c>
      <c r="BJ9" s="270"/>
      <c r="BK9" s="82" t="str">
        <f>IF(OR(ISBLANK(H9),ISBLANK(J9)),"N/A",IF(ABS((J9-H9)/H9)&gt;0.25,"&gt; 25%","ok"))</f>
        <v>N/A</v>
      </c>
      <c r="BL9" s="82"/>
      <c r="BM9" s="82" t="str">
        <f>IF(OR(ISBLANK(J9),ISBLANK(L9)),"N/A",IF(ABS((L9-J9)/J9)&gt;0.25,"&gt; 25%","ok"))</f>
        <v>N/A</v>
      </c>
      <c r="BN9" s="82"/>
      <c r="BO9" s="82" t="str">
        <f>IF(OR(ISBLANK(L9),ISBLANK(N9)),"N/A",IF(ABS((N9-L9)/L9)&gt;0.25,"&gt; 25%","ok"))</f>
        <v>N/A</v>
      </c>
      <c r="BP9" s="82"/>
      <c r="BQ9" s="82" t="str">
        <f>IF(OR(ISBLANK(N9),ISBLANK(P9)),"N/A",IF(ABS((P9-N9)/N9)&gt;0.25,"&gt; 25%","ok"))</f>
        <v>N/A</v>
      </c>
      <c r="BR9" s="82"/>
      <c r="BS9" s="82" t="str">
        <f>IF(OR(ISBLANK(P9),ISBLANK(R9)),"N/A",IF(ABS((R9-P9)/P9)&gt;0.25,"&gt; 25%","ok"))</f>
        <v>N/A</v>
      </c>
      <c r="BT9" s="82"/>
      <c r="BU9" s="82" t="str">
        <f>IF(OR(ISBLANK(R9),ISBLANK(T9)),"N/A",IF(ABS((T9-R9)/R9)&gt;0.25,"&gt; 25%","ok"))</f>
        <v>N/A</v>
      </c>
      <c r="BV9" s="82"/>
      <c r="BW9" s="82" t="str">
        <f>IF(OR(ISBLANK(T9),ISBLANK(V9)),"N/A",IF(ABS((V9-T9)/T9)&gt;0.25,"&gt; 25%","ok"))</f>
        <v>N/A</v>
      </c>
      <c r="BX9" s="82"/>
      <c r="BY9" s="82" t="str">
        <f>IF(OR(ISBLANK(V9),ISBLANK(X9)),"N/A",IF(ABS((X9-V9)/V9)&gt;0.25,"&gt; 25%","ok"))</f>
        <v>N/A</v>
      </c>
      <c r="BZ9" s="82"/>
      <c r="CA9" s="82" t="str">
        <f>IF(OR(ISBLANK(X9),ISBLANK(Z9)),"N/A",IF(ABS((Z9-X9)/X9)&gt;0.25,"&gt; 25%","ok"))</f>
        <v>N/A</v>
      </c>
      <c r="CB9" s="82"/>
      <c r="CC9" s="82" t="str">
        <f>IF(OR(ISBLANK(Z9),ISBLANK(AB9)),"N/A",IF(ABS((AB9-Z9)/Z9)&gt;0.25,"&gt; 25%","ok"))</f>
        <v>N/A</v>
      </c>
      <c r="CD9" s="82"/>
      <c r="CE9" s="82" t="str">
        <f>IF(OR(ISBLANK(AB9),ISBLANK(AD9)),"N/A",IF(ABS((AD9-AB9)/AB9)&gt;0.25,"&gt; 25%","ok"))</f>
        <v>N/A</v>
      </c>
      <c r="CF9" s="82"/>
      <c r="CG9" s="82" t="str">
        <f>IF(OR(ISBLANK(AD9),ISBLANK(AF9)),"N/A",IF(ABS((AF9-AD9)/AD9)&gt;0.25,"&gt; 25%","ok"))</f>
        <v>N/A</v>
      </c>
      <c r="CH9" s="82"/>
      <c r="CI9" s="82" t="str">
        <f>IF(OR(ISBLANK(AF9),ISBLANK(AH9)),"N/A",IF(ABS((AH9-AF9)/AF9)&gt;0.25,"&gt; 25%","ok"))</f>
        <v>N/A</v>
      </c>
      <c r="CJ9" s="82"/>
      <c r="CK9" s="82" t="str">
        <f>IF(OR(ISBLANK(AH9),ISBLANK(AJ9)),"N/A",IF(ABS((AJ9-AH9)/AH9)&gt;0.25,"&gt; 25%","ok"))</f>
        <v>N/A</v>
      </c>
      <c r="CL9" s="82"/>
      <c r="CM9" s="82" t="str">
        <f>IF(OR(ISBLANK(AJ9),ISBLANK(AL9)),"N/A",IF(ABS((AL9-AJ9)/AJ9)&gt;0.25,"&gt; 25%","ok"))</f>
        <v>N/A</v>
      </c>
      <c r="CN9" s="82"/>
      <c r="CO9" s="82" t="str">
        <f>IF(OR(ISBLANK(AL9),ISBLANK(AN9)),"N/A",IF(ABS((AN9-AL9)/AL9)&gt;0.25,"&gt; 25%","ok"))</f>
        <v>N/A</v>
      </c>
      <c r="CP9" s="82"/>
      <c r="CQ9" s="82" t="str">
        <f>IF(OR(ISBLANK(AN9),ISBLANK(AP9)),"N/A",IF(ABS((AP9-AN9)/AN9)&gt;0.25,"&gt; 25%","ok"))</f>
        <v>N/A</v>
      </c>
      <c r="CR9" s="82"/>
      <c r="CS9" s="82" t="str">
        <f>IF(OR(ISBLANK(AP9),ISBLANK(AR9)),"N/A",IF(ABS((AR9-AP9)/AP9)&gt;0.25,"&gt; 25%","ok"))</f>
        <v>N/A</v>
      </c>
      <c r="CT9" s="82"/>
      <c r="CU9" s="82" t="str">
        <f>IF(OR(ISBLANK(AR9),ISBLANK(AT9)),"N/A",IF(ABS((AT9-AR9)/AR9)&gt;0.25,"&gt; 25%","ok"))</f>
        <v>N/A</v>
      </c>
      <c r="CV9" s="82"/>
      <c r="CW9" s="82" t="str">
        <f>IF(OR(ISBLANK(AT9),ISBLANK(AV9)),"N/A",IF(ABS((AV9-AT9)/AT9)&gt;0.25,"&gt; 25%","ok"))</f>
        <v>N/A</v>
      </c>
      <c r="CX9" s="82"/>
      <c r="CY9" s="82" t="str">
        <f>IF(OR(ISBLANK(AV9),ISBLANK(AX9)),"N/A",IF(ABS((AX9-AV9)/AV9)&gt;0.25,"&gt; 25%","ok"))</f>
        <v>N/A</v>
      </c>
      <c r="CZ9" s="82"/>
      <c r="DA9" s="82" t="str">
        <f t="shared" ref="DA9:DA23" si="0">IF(OR(ISBLANK(AX9),ISBLANK(AZ9)),"N/A",IF(ABS((AZ9-AX9)/AX9)&gt;0.25,"&gt; 25%","ok"))</f>
        <v>N/A</v>
      </c>
    </row>
    <row r="10" spans="1:105" s="464" customFormat="1" ht="36" customHeight="1" x14ac:dyDescent="0.2">
      <c r="A10" s="463" t="s">
        <v>458</v>
      </c>
      <c r="B10" s="257">
        <v>29</v>
      </c>
      <c r="C10" s="398">
        <v>3</v>
      </c>
      <c r="D10" s="276" t="s">
        <v>579</v>
      </c>
      <c r="E10" s="394" t="s">
        <v>558</v>
      </c>
      <c r="F10" s="573"/>
      <c r="G10" s="594"/>
      <c r="H10" s="573"/>
      <c r="I10" s="594"/>
      <c r="J10" s="573"/>
      <c r="K10" s="594"/>
      <c r="L10" s="573"/>
      <c r="M10" s="594"/>
      <c r="N10" s="573"/>
      <c r="O10" s="594"/>
      <c r="P10" s="573"/>
      <c r="Q10" s="594"/>
      <c r="R10" s="573"/>
      <c r="S10" s="594"/>
      <c r="T10" s="573"/>
      <c r="U10" s="594"/>
      <c r="V10" s="573"/>
      <c r="W10" s="594"/>
      <c r="X10" s="573"/>
      <c r="Y10" s="594"/>
      <c r="Z10" s="573"/>
      <c r="AA10" s="594"/>
      <c r="AB10" s="573"/>
      <c r="AC10" s="594"/>
      <c r="AD10" s="573"/>
      <c r="AE10" s="594"/>
      <c r="AF10" s="573"/>
      <c r="AG10" s="594"/>
      <c r="AH10" s="573"/>
      <c r="AI10" s="594"/>
      <c r="AJ10" s="573"/>
      <c r="AK10" s="594"/>
      <c r="AL10" s="573"/>
      <c r="AM10" s="594"/>
      <c r="AN10" s="573"/>
      <c r="AO10" s="594"/>
      <c r="AP10" s="573"/>
      <c r="AQ10" s="594"/>
      <c r="AR10" s="692"/>
      <c r="AS10" s="594"/>
      <c r="AT10" s="573">
        <f>AT8</f>
        <v>3138.5117944402564</v>
      </c>
      <c r="AU10" s="594" t="s">
        <v>21</v>
      </c>
      <c r="AV10" s="573">
        <f>AV8</f>
        <v>3200.4673594788655</v>
      </c>
      <c r="AW10" s="594" t="s">
        <v>21</v>
      </c>
      <c r="AX10" s="573">
        <f>AX8</f>
        <v>3128.5851102366869</v>
      </c>
      <c r="AY10" s="594" t="s">
        <v>21</v>
      </c>
      <c r="AZ10" s="573"/>
      <c r="BA10" s="594"/>
      <c r="BC10" s="465"/>
      <c r="BD10" s="642">
        <v>3</v>
      </c>
      <c r="BE10" s="653" t="s">
        <v>602</v>
      </c>
      <c r="BF10" s="612" t="s">
        <v>205</v>
      </c>
      <c r="BG10" s="81" t="s">
        <v>466</v>
      </c>
      <c r="BH10" s="270"/>
      <c r="BI10" s="82" t="str">
        <f>IF(OR(ISBLANK(F10),ISBLANK(H10)),"N/A",IF(ABS((H10-F10)/F10)&gt;1,"&gt; 100%","ok"))</f>
        <v>N/A</v>
      </c>
      <c r="BJ10" s="270"/>
      <c r="BK10" s="82" t="str">
        <f>IF(OR(ISBLANK(H10),ISBLANK(J10)),"N/A",IF(ABS((J10-H10)/H10)&gt;0.25,"&gt; 25%","ok"))</f>
        <v>N/A</v>
      </c>
      <c r="BL10" s="82"/>
      <c r="BM10" s="82" t="str">
        <f>IF(OR(ISBLANK(J10),ISBLANK(L10)),"N/A",IF(ABS((L10-J10)/J10)&gt;0.25,"&gt; 25%","ok"))</f>
        <v>N/A</v>
      </c>
      <c r="BN10" s="82"/>
      <c r="BO10" s="82" t="str">
        <f>IF(OR(ISBLANK(L10),ISBLANK(N10)),"N/A",IF(ABS((N10-L10)/L10)&gt;0.25,"&gt; 25%","ok"))</f>
        <v>N/A</v>
      </c>
      <c r="BP10" s="82"/>
      <c r="BQ10" s="82" t="str">
        <f>IF(OR(ISBLANK(N10),ISBLANK(P10)),"N/A",IF(ABS((P10-N10)/N10)&gt;0.25,"&gt; 25%","ok"))</f>
        <v>N/A</v>
      </c>
      <c r="BR10" s="82"/>
      <c r="BS10" s="82" t="str">
        <f>IF(OR(ISBLANK(P10),ISBLANK(R10)),"N/A",IF(ABS((R10-P10)/P10)&gt;0.25,"&gt; 25%","ok"))</f>
        <v>N/A</v>
      </c>
      <c r="BT10" s="82"/>
      <c r="BU10" s="82" t="str">
        <f>IF(OR(ISBLANK(R10),ISBLANK(T10)),"N/A",IF(ABS((T10-R10)/R10)&gt;0.25,"&gt; 25%","ok"))</f>
        <v>N/A</v>
      </c>
      <c r="BV10" s="82"/>
      <c r="BW10" s="82" t="str">
        <f>IF(OR(ISBLANK(T10),ISBLANK(V10)),"N/A",IF(ABS((V10-T10)/T10)&gt;0.25,"&gt; 25%","ok"))</f>
        <v>N/A</v>
      </c>
      <c r="BX10" s="82"/>
      <c r="BY10" s="82" t="str">
        <f>IF(OR(ISBLANK(V10),ISBLANK(X10)),"N/A",IF(ABS((X10-V10)/V10)&gt;0.25,"&gt; 25%","ok"))</f>
        <v>N/A</v>
      </c>
      <c r="BZ10" s="82"/>
      <c r="CA10" s="82" t="str">
        <f>IF(OR(ISBLANK(X10),ISBLANK(Z10)),"N/A",IF(ABS((Z10-X10)/X10)&gt;0.25,"&gt; 25%","ok"))</f>
        <v>N/A</v>
      </c>
      <c r="CB10" s="82"/>
      <c r="CC10" s="82" t="str">
        <f>IF(OR(ISBLANK(Z10),ISBLANK(AB10)),"N/A",IF(ABS((AB10-Z10)/Z10)&gt;0.25,"&gt; 25%","ok"))</f>
        <v>N/A</v>
      </c>
      <c r="CD10" s="82"/>
      <c r="CE10" s="82" t="str">
        <f>IF(OR(ISBLANK(AB10),ISBLANK(AD10)),"N/A",IF(ABS((AD10-AB10)/AB10)&gt;0.25,"&gt; 25%","ok"))</f>
        <v>N/A</v>
      </c>
      <c r="CF10" s="82"/>
      <c r="CG10" s="82" t="str">
        <f>IF(OR(ISBLANK(AD10),ISBLANK(AF10)),"N/A",IF(ABS((AF10-AD10)/AD10)&gt;0.25,"&gt; 25%","ok"))</f>
        <v>N/A</v>
      </c>
      <c r="CH10" s="82"/>
      <c r="CI10" s="82" t="str">
        <f>IF(OR(ISBLANK(AF10),ISBLANK(AH10)),"N/A",IF(ABS((AH10-AF10)/AF10)&gt;0.25,"&gt; 25%","ok"))</f>
        <v>N/A</v>
      </c>
      <c r="CJ10" s="82"/>
      <c r="CK10" s="82" t="str">
        <f>IF(OR(ISBLANK(AH10),ISBLANK(AJ10)),"N/A",IF(ABS((AJ10-AH10)/AH10)&gt;0.25,"&gt; 25%","ok"))</f>
        <v>N/A</v>
      </c>
      <c r="CL10" s="82"/>
      <c r="CM10" s="82" t="str">
        <f>IF(OR(ISBLANK(AJ10),ISBLANK(AL10)),"N/A",IF(ABS((AL10-AJ10)/AJ10)&gt;0.25,"&gt; 25%","ok"))</f>
        <v>N/A</v>
      </c>
      <c r="CN10" s="82"/>
      <c r="CO10" s="82" t="str">
        <f>IF(OR(ISBLANK(AL10),ISBLANK(AN10)),"N/A",IF(ABS((AN10-AL10)/AL10)&gt;0.25,"&gt; 25%","ok"))</f>
        <v>N/A</v>
      </c>
      <c r="CP10" s="82"/>
      <c r="CQ10" s="82" t="str">
        <f>IF(OR(ISBLANK(AN10),ISBLANK(AP10)),"N/A",IF(ABS((AP10-AN10)/AN10)&gt;0.25,"&gt; 25%","ok"))</f>
        <v>N/A</v>
      </c>
      <c r="CR10" s="82"/>
      <c r="CS10" s="82" t="str">
        <f>IF(OR(ISBLANK(AP10),ISBLANK(AR10)),"N/A",IF(ABS((AR10-AP10)/AP10)&gt;0.25,"&gt; 25%","ok"))</f>
        <v>N/A</v>
      </c>
      <c r="CT10" s="82"/>
      <c r="CU10" s="82" t="str">
        <f>IF(OR(ISBLANK(AR10),ISBLANK(AT10)),"N/A",IF(ABS((AT10-AR10)/AR10)&gt;0.25,"&gt; 25%","ok"))</f>
        <v>N/A</v>
      </c>
      <c r="CV10" s="82"/>
      <c r="CW10" s="82" t="str">
        <f>IF(OR(ISBLANK(AT10),ISBLANK(AV10)),"N/A",IF(ABS((AV10-AT10)/AT10)&gt;0.25,"&gt; 25%","ok"))</f>
        <v>ok</v>
      </c>
      <c r="CX10" s="82"/>
      <c r="CY10" s="82" t="str">
        <f>IF(OR(ISBLANK(AV10),ISBLANK(AX10)),"N/A",IF(ABS((AX10-AV10)/AV10)&gt;0.25,"&gt; 25%","ok"))</f>
        <v>ok</v>
      </c>
      <c r="CZ10" s="82"/>
      <c r="DA10" s="82" t="str">
        <f t="shared" si="0"/>
        <v>N/A</v>
      </c>
    </row>
    <row r="11" spans="1:105" s="464" customFormat="1" ht="18.95" customHeight="1" x14ac:dyDescent="0.2">
      <c r="A11" s="466"/>
      <c r="B11" s="257">
        <v>5008</v>
      </c>
      <c r="C11" s="640"/>
      <c r="D11" s="641" t="s">
        <v>128</v>
      </c>
      <c r="E11" s="642"/>
      <c r="F11" s="607"/>
      <c r="G11" s="608"/>
      <c r="H11" s="607"/>
      <c r="I11" s="608"/>
      <c r="J11" s="607"/>
      <c r="K11" s="608"/>
      <c r="L11" s="607"/>
      <c r="M11" s="608"/>
      <c r="N11" s="607"/>
      <c r="O11" s="608"/>
      <c r="P11" s="607"/>
      <c r="Q11" s="608"/>
      <c r="R11" s="607"/>
      <c r="S11" s="608"/>
      <c r="T11" s="607"/>
      <c r="U11" s="608"/>
      <c r="V11" s="607"/>
      <c r="W11" s="608"/>
      <c r="X11" s="607"/>
      <c r="Y11" s="608"/>
      <c r="Z11" s="607"/>
      <c r="AA11" s="608"/>
      <c r="AB11" s="607"/>
      <c r="AC11" s="608"/>
      <c r="AD11" s="607"/>
      <c r="AE11" s="608"/>
      <c r="AF11" s="607"/>
      <c r="AG11" s="608"/>
      <c r="AH11" s="607"/>
      <c r="AI11" s="608"/>
      <c r="AJ11" s="607"/>
      <c r="AK11" s="608"/>
      <c r="AL11" s="607"/>
      <c r="AM11" s="608"/>
      <c r="AN11" s="607"/>
      <c r="AO11" s="608"/>
      <c r="AP11" s="607"/>
      <c r="AQ11" s="608"/>
      <c r="AR11" s="691"/>
      <c r="AS11" s="608"/>
      <c r="AT11" s="607"/>
      <c r="AU11" s="608"/>
      <c r="AV11" s="607"/>
      <c r="AW11" s="608"/>
      <c r="AX11" s="607"/>
      <c r="AY11" s="608"/>
      <c r="AZ11" s="607"/>
      <c r="BA11" s="608"/>
      <c r="BC11" s="465"/>
      <c r="BD11" s="640"/>
      <c r="BE11" s="641" t="s">
        <v>415</v>
      </c>
      <c r="BF11" s="642"/>
      <c r="BG11" s="98"/>
      <c r="BH11" s="266"/>
      <c r="BI11" s="79"/>
      <c r="BJ11" s="266"/>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row>
    <row r="12" spans="1:105" s="469" customFormat="1" ht="18.95" customHeight="1" x14ac:dyDescent="0.2">
      <c r="A12" s="249"/>
      <c r="B12" s="257">
        <v>38</v>
      </c>
      <c r="C12" s="260">
        <v>4</v>
      </c>
      <c r="D12" s="468" t="s">
        <v>528</v>
      </c>
      <c r="E12" s="267" t="s">
        <v>558</v>
      </c>
      <c r="F12" s="571"/>
      <c r="G12" s="592"/>
      <c r="H12" s="571"/>
      <c r="I12" s="592"/>
      <c r="J12" s="571"/>
      <c r="K12" s="592"/>
      <c r="L12" s="571"/>
      <c r="M12" s="592"/>
      <c r="N12" s="571"/>
      <c r="O12" s="592"/>
      <c r="P12" s="571"/>
      <c r="Q12" s="592"/>
      <c r="R12" s="571"/>
      <c r="S12" s="592"/>
      <c r="T12" s="571"/>
      <c r="U12" s="592"/>
      <c r="V12" s="571"/>
      <c r="W12" s="592"/>
      <c r="X12" s="571"/>
      <c r="Y12" s="592"/>
      <c r="Z12" s="571"/>
      <c r="AA12" s="592"/>
      <c r="AB12" s="571"/>
      <c r="AC12" s="592"/>
      <c r="AD12" s="571"/>
      <c r="AE12" s="592"/>
      <c r="AF12" s="571"/>
      <c r="AG12" s="592"/>
      <c r="AH12" s="571"/>
      <c r="AI12" s="592"/>
      <c r="AJ12" s="571"/>
      <c r="AK12" s="592"/>
      <c r="AL12" s="571"/>
      <c r="AM12" s="592"/>
      <c r="AN12" s="571"/>
      <c r="AO12" s="592"/>
      <c r="AP12" s="571"/>
      <c r="AQ12" s="592"/>
      <c r="AR12" s="696"/>
      <c r="AS12" s="592"/>
      <c r="AT12" s="571">
        <f>[1]UTILIZACION_2014!$BJ$29</f>
        <v>2385.9176060321051</v>
      </c>
      <c r="AU12" s="592" t="s">
        <v>21</v>
      </c>
      <c r="AV12" s="571">
        <f>[1]UTILIZACION_2015!$BJ$29</f>
        <v>2436.9749653281651</v>
      </c>
      <c r="AW12" s="592" t="s">
        <v>21</v>
      </c>
      <c r="AX12" s="571">
        <f>[1]UTILIZACION_2016p!$BJ$29</f>
        <v>2292.2356744486406</v>
      </c>
      <c r="AY12" s="592" t="s">
        <v>21</v>
      </c>
      <c r="AZ12" s="571"/>
      <c r="BA12" s="592"/>
      <c r="BC12" s="470"/>
      <c r="BD12" s="646">
        <v>4</v>
      </c>
      <c r="BE12" s="655" t="s">
        <v>210</v>
      </c>
      <c r="BF12" s="612" t="s">
        <v>205</v>
      </c>
      <c r="BG12" s="79" t="s">
        <v>466</v>
      </c>
      <c r="BH12" s="266"/>
      <c r="BI12" s="79" t="str">
        <f t="shared" ref="BI12:BI19" si="1">IF(OR(ISBLANK(F12),ISBLANK(H12)),"N/A",IF(ABS((H12-F12)/F12)&gt;1,"&gt; 100%","ok"))</f>
        <v>N/A</v>
      </c>
      <c r="BJ12" s="266"/>
      <c r="BK12" s="82" t="str">
        <f t="shared" ref="BK12:BK19" si="2">IF(OR(ISBLANK(H12),ISBLANK(J12)),"N/A",IF(ABS((J12-H12)/H12)&gt;0.25,"&gt; 25%","ok"))</f>
        <v>N/A</v>
      </c>
      <c r="BL12" s="82"/>
      <c r="BM12" s="82" t="str">
        <f t="shared" ref="BM12:BM19" si="3">IF(OR(ISBLANK(J12),ISBLANK(L12)),"N/A",IF(ABS((L12-J12)/J12)&gt;0.25,"&gt; 25%","ok"))</f>
        <v>N/A</v>
      </c>
      <c r="BN12" s="82"/>
      <c r="BO12" s="82" t="str">
        <f t="shared" ref="BO12:BO19" si="4">IF(OR(ISBLANK(L12),ISBLANK(N12)),"N/A",IF(ABS((N12-L12)/L12)&gt;0.25,"&gt; 25%","ok"))</f>
        <v>N/A</v>
      </c>
      <c r="BP12" s="82"/>
      <c r="BQ12" s="82" t="str">
        <f t="shared" ref="BQ12:BQ19" si="5">IF(OR(ISBLANK(N12),ISBLANK(P12)),"N/A",IF(ABS((P12-N12)/N12)&gt;0.25,"&gt; 25%","ok"))</f>
        <v>N/A</v>
      </c>
      <c r="BR12" s="82"/>
      <c r="BS12" s="82" t="str">
        <f t="shared" ref="BS12:BS19" si="6">IF(OR(ISBLANK(P12),ISBLANK(R12)),"N/A",IF(ABS((R12-P12)/P12)&gt;0.25,"&gt; 25%","ok"))</f>
        <v>N/A</v>
      </c>
      <c r="BT12" s="82"/>
      <c r="BU12" s="82" t="str">
        <f t="shared" ref="BU12:BU19" si="7">IF(OR(ISBLANK(R12),ISBLANK(T12)),"N/A",IF(ABS((T12-R12)/R12)&gt;0.25,"&gt; 25%","ok"))</f>
        <v>N/A</v>
      </c>
      <c r="BV12" s="82"/>
      <c r="BW12" s="82" t="str">
        <f t="shared" ref="BW12:BW19" si="8">IF(OR(ISBLANK(T12),ISBLANK(V12)),"N/A",IF(ABS((V12-T12)/T12)&gt;0.25,"&gt; 25%","ok"))</f>
        <v>N/A</v>
      </c>
      <c r="BX12" s="82"/>
      <c r="BY12" s="82" t="str">
        <f t="shared" ref="BY12:BY19" si="9">IF(OR(ISBLANK(V12),ISBLANK(X12)),"N/A",IF(ABS((X12-V12)/V12)&gt;0.25,"&gt; 25%","ok"))</f>
        <v>N/A</v>
      </c>
      <c r="BZ12" s="82"/>
      <c r="CA12" s="82" t="str">
        <f t="shared" ref="CA12:CA19" si="10">IF(OR(ISBLANK(X12),ISBLANK(Z12)),"N/A",IF(ABS((Z12-X12)/X12)&gt;0.25,"&gt; 25%","ok"))</f>
        <v>N/A</v>
      </c>
      <c r="CB12" s="82"/>
      <c r="CC12" s="82" t="str">
        <f t="shared" ref="CC12:CC19" si="11">IF(OR(ISBLANK(Z12),ISBLANK(AB12)),"N/A",IF(ABS((AB12-Z12)/Z12)&gt;0.25,"&gt; 25%","ok"))</f>
        <v>N/A</v>
      </c>
      <c r="CD12" s="82"/>
      <c r="CE12" s="82" t="str">
        <f t="shared" ref="CE12:CE19" si="12">IF(OR(ISBLANK(AB12),ISBLANK(AD12)),"N/A",IF(ABS((AD12-AB12)/AB12)&gt;0.25,"&gt; 25%","ok"))</f>
        <v>N/A</v>
      </c>
      <c r="CF12" s="82"/>
      <c r="CG12" s="82" t="str">
        <f t="shared" ref="CG12:CG19" si="13">IF(OR(ISBLANK(AD12),ISBLANK(AF12)),"N/A",IF(ABS((AF12-AD12)/AD12)&gt;0.25,"&gt; 25%","ok"))</f>
        <v>N/A</v>
      </c>
      <c r="CH12" s="82"/>
      <c r="CI12" s="82" t="str">
        <f t="shared" ref="CI12:CI19" si="14">IF(OR(ISBLANK(AF12),ISBLANK(AH12)),"N/A",IF(ABS((AH12-AF12)/AF12)&gt;0.25,"&gt; 25%","ok"))</f>
        <v>N/A</v>
      </c>
      <c r="CJ12" s="82"/>
      <c r="CK12" s="82" t="str">
        <f t="shared" ref="CK12:CK19" si="15">IF(OR(ISBLANK(AH12),ISBLANK(AJ12)),"N/A",IF(ABS((AJ12-AH12)/AH12)&gt;0.25,"&gt; 25%","ok"))</f>
        <v>N/A</v>
      </c>
      <c r="CL12" s="82"/>
      <c r="CM12" s="82" t="str">
        <f t="shared" ref="CM12:CM19" si="16">IF(OR(ISBLANK(AJ12),ISBLANK(AL12)),"N/A",IF(ABS((AL12-AJ12)/AJ12)&gt;0.25,"&gt; 25%","ok"))</f>
        <v>N/A</v>
      </c>
      <c r="CN12" s="82"/>
      <c r="CO12" s="82" t="str">
        <f t="shared" ref="CO12:CO19" si="17">IF(OR(ISBLANK(AL12),ISBLANK(AN12)),"N/A",IF(ABS((AN12-AL12)/AL12)&gt;0.25,"&gt; 25%","ok"))</f>
        <v>N/A</v>
      </c>
      <c r="CP12" s="82"/>
      <c r="CQ12" s="82" t="str">
        <f t="shared" ref="CQ12:CQ19" si="18">IF(OR(ISBLANK(AN12),ISBLANK(AP12)),"N/A",IF(ABS((AP12-AN12)/AN12)&gt;0.25,"&gt; 25%","ok"))</f>
        <v>N/A</v>
      </c>
      <c r="CR12" s="82"/>
      <c r="CS12" s="82" t="str">
        <f t="shared" ref="CS12:CS19" si="19">IF(OR(ISBLANK(AP12),ISBLANK(AR12)),"N/A",IF(ABS((AR12-AP12)/AP12)&gt;0.25,"&gt; 25%","ok"))</f>
        <v>N/A</v>
      </c>
      <c r="CT12" s="82"/>
      <c r="CU12" s="82" t="str">
        <f t="shared" ref="CU12:CU19" si="20">IF(OR(ISBLANK(AR12),ISBLANK(AT12)),"N/A",IF(ABS((AT12-AR12)/AR12)&gt;0.25,"&gt; 25%","ok"))</f>
        <v>N/A</v>
      </c>
      <c r="CV12" s="82"/>
      <c r="CW12" s="82" t="str">
        <f t="shared" ref="CW12:CW19" si="21">IF(OR(ISBLANK(AT12),ISBLANK(AV12)),"N/A",IF(ABS((AV12-AT12)/AT12)&gt;0.25,"&gt; 25%","ok"))</f>
        <v>ok</v>
      </c>
      <c r="CX12" s="82"/>
      <c r="CY12" s="82" t="str">
        <f t="shared" ref="CY12:CY19" si="22">IF(OR(ISBLANK(AV12),ISBLANK(AX12)),"N/A",IF(ABS((AX12-AV12)/AV12)&gt;0.25,"&gt; 25%","ok"))</f>
        <v>ok</v>
      </c>
      <c r="CZ12" s="82"/>
      <c r="DA12" s="82" t="str">
        <f t="shared" si="0"/>
        <v>N/A</v>
      </c>
    </row>
    <row r="13" spans="1:105" ht="24.75" customHeight="1" x14ac:dyDescent="0.2">
      <c r="B13" s="257">
        <v>81</v>
      </c>
      <c r="C13" s="394">
        <v>5</v>
      </c>
      <c r="D13" s="468" t="s">
        <v>124</v>
      </c>
      <c r="E13" s="267" t="s">
        <v>558</v>
      </c>
      <c r="F13" s="572"/>
      <c r="G13" s="593"/>
      <c r="H13" s="572"/>
      <c r="I13" s="593"/>
      <c r="J13" s="572"/>
      <c r="K13" s="593"/>
      <c r="L13" s="572"/>
      <c r="M13" s="593"/>
      <c r="N13" s="572"/>
      <c r="O13" s="593"/>
      <c r="P13" s="572"/>
      <c r="Q13" s="593"/>
      <c r="R13" s="572"/>
      <c r="S13" s="593"/>
      <c r="T13" s="572"/>
      <c r="U13" s="593"/>
      <c r="V13" s="572"/>
      <c r="W13" s="593"/>
      <c r="X13" s="572"/>
      <c r="Y13" s="593"/>
      <c r="Z13" s="572"/>
      <c r="AA13" s="593"/>
      <c r="AB13" s="572"/>
      <c r="AC13" s="593"/>
      <c r="AD13" s="572"/>
      <c r="AE13" s="593"/>
      <c r="AF13" s="572"/>
      <c r="AG13" s="593"/>
      <c r="AH13" s="572"/>
      <c r="AI13" s="593"/>
      <c r="AJ13" s="572"/>
      <c r="AK13" s="593"/>
      <c r="AL13" s="572"/>
      <c r="AM13" s="593"/>
      <c r="AN13" s="572"/>
      <c r="AO13" s="593"/>
      <c r="AP13" s="572"/>
      <c r="AQ13" s="593"/>
      <c r="AR13" s="690"/>
      <c r="AS13" s="593"/>
      <c r="AT13" s="572"/>
      <c r="AU13" s="593"/>
      <c r="AV13" s="572"/>
      <c r="AW13" s="593"/>
      <c r="AX13" s="572"/>
      <c r="AY13" s="593"/>
      <c r="AZ13" s="572"/>
      <c r="BA13" s="593"/>
      <c r="BD13" s="612">
        <v>5</v>
      </c>
      <c r="BE13" s="656" t="s">
        <v>474</v>
      </c>
      <c r="BF13" s="612" t="s">
        <v>205</v>
      </c>
      <c r="BG13" s="81" t="s">
        <v>466</v>
      </c>
      <c r="BH13" s="270"/>
      <c r="BI13" s="79" t="str">
        <f t="shared" si="1"/>
        <v>N/A</v>
      </c>
      <c r="BJ13" s="270"/>
      <c r="BK13" s="82" t="str">
        <f t="shared" si="2"/>
        <v>N/A</v>
      </c>
      <c r="BL13" s="82"/>
      <c r="BM13" s="82" t="str">
        <f t="shared" si="3"/>
        <v>N/A</v>
      </c>
      <c r="BN13" s="82"/>
      <c r="BO13" s="82" t="str">
        <f t="shared" si="4"/>
        <v>N/A</v>
      </c>
      <c r="BP13" s="82"/>
      <c r="BQ13" s="82" t="str">
        <f t="shared" si="5"/>
        <v>N/A</v>
      </c>
      <c r="BR13" s="82"/>
      <c r="BS13" s="82" t="str">
        <f t="shared" si="6"/>
        <v>N/A</v>
      </c>
      <c r="BT13" s="82"/>
      <c r="BU13" s="82" t="str">
        <f t="shared" si="7"/>
        <v>N/A</v>
      </c>
      <c r="BV13" s="82"/>
      <c r="BW13" s="82" t="str">
        <f t="shared" si="8"/>
        <v>N/A</v>
      </c>
      <c r="BX13" s="82"/>
      <c r="BY13" s="82" t="str">
        <f t="shared" si="9"/>
        <v>N/A</v>
      </c>
      <c r="BZ13" s="82"/>
      <c r="CA13" s="82" t="str">
        <f t="shared" si="10"/>
        <v>N/A</v>
      </c>
      <c r="CB13" s="82"/>
      <c r="CC13" s="82" t="str">
        <f t="shared" si="11"/>
        <v>N/A</v>
      </c>
      <c r="CD13" s="82"/>
      <c r="CE13" s="82" t="str">
        <f t="shared" si="12"/>
        <v>N/A</v>
      </c>
      <c r="CF13" s="82"/>
      <c r="CG13" s="82" t="str">
        <f t="shared" si="13"/>
        <v>N/A</v>
      </c>
      <c r="CH13" s="82"/>
      <c r="CI13" s="82" t="str">
        <f t="shared" si="14"/>
        <v>N/A</v>
      </c>
      <c r="CJ13" s="82"/>
      <c r="CK13" s="82" t="str">
        <f t="shared" si="15"/>
        <v>N/A</v>
      </c>
      <c r="CL13" s="82"/>
      <c r="CM13" s="82" t="str">
        <f t="shared" si="16"/>
        <v>N/A</v>
      </c>
      <c r="CN13" s="82"/>
      <c r="CO13" s="82" t="str">
        <f t="shared" si="17"/>
        <v>N/A</v>
      </c>
      <c r="CP13" s="82"/>
      <c r="CQ13" s="82" t="str">
        <f t="shared" si="18"/>
        <v>N/A</v>
      </c>
      <c r="CR13" s="82"/>
      <c r="CS13" s="82" t="str">
        <f t="shared" si="19"/>
        <v>N/A</v>
      </c>
      <c r="CT13" s="82"/>
      <c r="CU13" s="82" t="str">
        <f t="shared" si="20"/>
        <v>N/A</v>
      </c>
      <c r="CV13" s="82"/>
      <c r="CW13" s="82" t="str">
        <f t="shared" si="21"/>
        <v>N/A</v>
      </c>
      <c r="CX13" s="82"/>
      <c r="CY13" s="82" t="str">
        <f t="shared" si="22"/>
        <v>N/A</v>
      </c>
      <c r="CZ13" s="82"/>
      <c r="DA13" s="82" t="str">
        <f t="shared" si="0"/>
        <v>N/A</v>
      </c>
    </row>
    <row r="14" spans="1:105" ht="24.75" customHeight="1" x14ac:dyDescent="0.2">
      <c r="B14" s="257">
        <v>42</v>
      </c>
      <c r="C14" s="394">
        <v>6</v>
      </c>
      <c r="D14" s="468" t="s">
        <v>574</v>
      </c>
      <c r="E14" s="267" t="s">
        <v>558</v>
      </c>
      <c r="F14" s="572"/>
      <c r="G14" s="593"/>
      <c r="H14" s="572"/>
      <c r="I14" s="593"/>
      <c r="J14" s="572"/>
      <c r="K14" s="593"/>
      <c r="L14" s="572"/>
      <c r="M14" s="593"/>
      <c r="N14" s="572"/>
      <c r="O14" s="593"/>
      <c r="P14" s="572"/>
      <c r="Q14" s="593"/>
      <c r="R14" s="572"/>
      <c r="S14" s="593"/>
      <c r="T14" s="572"/>
      <c r="U14" s="593"/>
      <c r="V14" s="572"/>
      <c r="W14" s="593"/>
      <c r="X14" s="572"/>
      <c r="Y14" s="593"/>
      <c r="Z14" s="572"/>
      <c r="AA14" s="593"/>
      <c r="AB14" s="572"/>
      <c r="AC14" s="593"/>
      <c r="AD14" s="572"/>
      <c r="AE14" s="593"/>
      <c r="AF14" s="572"/>
      <c r="AG14" s="593"/>
      <c r="AH14" s="572"/>
      <c r="AI14" s="593"/>
      <c r="AJ14" s="572"/>
      <c r="AK14" s="593"/>
      <c r="AL14" s="572"/>
      <c r="AM14" s="593"/>
      <c r="AN14" s="572"/>
      <c r="AO14" s="593"/>
      <c r="AP14" s="572"/>
      <c r="AQ14" s="593"/>
      <c r="AR14" s="690"/>
      <c r="AS14" s="593"/>
      <c r="AT14" s="572"/>
      <c r="AU14" s="593"/>
      <c r="AV14" s="572"/>
      <c r="AW14" s="593"/>
      <c r="AX14" s="572"/>
      <c r="AY14" s="593"/>
      <c r="AZ14" s="572"/>
      <c r="BA14" s="593"/>
      <c r="BD14" s="612">
        <v>6</v>
      </c>
      <c r="BE14" s="656" t="s">
        <v>584</v>
      </c>
      <c r="BF14" s="612" t="s">
        <v>205</v>
      </c>
      <c r="BG14" s="81"/>
      <c r="BH14" s="270"/>
      <c r="BI14" s="79" t="str">
        <f t="shared" si="1"/>
        <v>N/A</v>
      </c>
      <c r="BJ14" s="270"/>
      <c r="BK14" s="82" t="str">
        <f t="shared" si="2"/>
        <v>N/A</v>
      </c>
      <c r="BL14" s="82"/>
      <c r="BM14" s="82" t="str">
        <f t="shared" si="3"/>
        <v>N/A</v>
      </c>
      <c r="BN14" s="82"/>
      <c r="BO14" s="82" t="str">
        <f t="shared" si="4"/>
        <v>N/A</v>
      </c>
      <c r="BP14" s="82"/>
      <c r="BQ14" s="82" t="str">
        <f t="shared" si="5"/>
        <v>N/A</v>
      </c>
      <c r="BR14" s="82"/>
      <c r="BS14" s="82" t="str">
        <f t="shared" si="6"/>
        <v>N/A</v>
      </c>
      <c r="BT14" s="82"/>
      <c r="BU14" s="82" t="str">
        <f t="shared" si="7"/>
        <v>N/A</v>
      </c>
      <c r="BV14" s="82"/>
      <c r="BW14" s="82" t="str">
        <f t="shared" si="8"/>
        <v>N/A</v>
      </c>
      <c r="BX14" s="82"/>
      <c r="BY14" s="82" t="str">
        <f t="shared" si="9"/>
        <v>N/A</v>
      </c>
      <c r="BZ14" s="82"/>
      <c r="CA14" s="82" t="str">
        <f t="shared" si="10"/>
        <v>N/A</v>
      </c>
      <c r="CB14" s="82"/>
      <c r="CC14" s="82" t="str">
        <f t="shared" si="11"/>
        <v>N/A</v>
      </c>
      <c r="CD14" s="82"/>
      <c r="CE14" s="82" t="str">
        <f t="shared" si="12"/>
        <v>N/A</v>
      </c>
      <c r="CF14" s="82"/>
      <c r="CG14" s="82" t="str">
        <f t="shared" si="13"/>
        <v>N/A</v>
      </c>
      <c r="CH14" s="82"/>
      <c r="CI14" s="82" t="str">
        <f t="shared" si="14"/>
        <v>N/A</v>
      </c>
      <c r="CJ14" s="82"/>
      <c r="CK14" s="82" t="str">
        <f t="shared" si="15"/>
        <v>N/A</v>
      </c>
      <c r="CL14" s="82"/>
      <c r="CM14" s="82" t="str">
        <f t="shared" si="16"/>
        <v>N/A</v>
      </c>
      <c r="CN14" s="82"/>
      <c r="CO14" s="82" t="str">
        <f t="shared" si="17"/>
        <v>N/A</v>
      </c>
      <c r="CP14" s="82"/>
      <c r="CQ14" s="82" t="str">
        <f t="shared" si="18"/>
        <v>N/A</v>
      </c>
      <c r="CR14" s="82"/>
      <c r="CS14" s="82" t="str">
        <f t="shared" si="19"/>
        <v>N/A</v>
      </c>
      <c r="CT14" s="82"/>
      <c r="CU14" s="82" t="str">
        <f t="shared" si="20"/>
        <v>N/A</v>
      </c>
      <c r="CV14" s="82"/>
      <c r="CW14" s="82" t="str">
        <f t="shared" si="21"/>
        <v>N/A</v>
      </c>
      <c r="CX14" s="82"/>
      <c r="CY14" s="82" t="str">
        <f t="shared" si="22"/>
        <v>N/A</v>
      </c>
      <c r="CZ14" s="82"/>
      <c r="DA14" s="82" t="str">
        <f>IF(OR(ISBLANK(AX14),ISBLANK(AZ14)),"N/A",IF(ABS((AZ14-AX14)/AX14)&gt;0.25,"&gt; 25%","ok"))</f>
        <v>N/A</v>
      </c>
    </row>
    <row r="15" spans="1:105" ht="18.95" customHeight="1" x14ac:dyDescent="0.2">
      <c r="B15" s="257">
        <v>33</v>
      </c>
      <c r="C15" s="394">
        <v>7</v>
      </c>
      <c r="D15" s="473" t="s">
        <v>529</v>
      </c>
      <c r="E15" s="267" t="s">
        <v>558</v>
      </c>
      <c r="F15" s="572"/>
      <c r="G15" s="593"/>
      <c r="H15" s="572"/>
      <c r="I15" s="593"/>
      <c r="J15" s="572"/>
      <c r="K15" s="593"/>
      <c r="L15" s="572"/>
      <c r="M15" s="593"/>
      <c r="N15" s="572"/>
      <c r="O15" s="593"/>
      <c r="P15" s="572"/>
      <c r="Q15" s="593"/>
      <c r="R15" s="572"/>
      <c r="S15" s="593"/>
      <c r="T15" s="572"/>
      <c r="U15" s="593"/>
      <c r="V15" s="572"/>
      <c r="W15" s="593"/>
      <c r="X15" s="572"/>
      <c r="Y15" s="593"/>
      <c r="Z15" s="572"/>
      <c r="AA15" s="593"/>
      <c r="AB15" s="572"/>
      <c r="AC15" s="593"/>
      <c r="AD15" s="572"/>
      <c r="AE15" s="593"/>
      <c r="AF15" s="572"/>
      <c r="AG15" s="593"/>
      <c r="AH15" s="572"/>
      <c r="AI15" s="593"/>
      <c r="AJ15" s="572"/>
      <c r="AK15" s="593"/>
      <c r="AL15" s="572"/>
      <c r="AM15" s="593"/>
      <c r="AN15" s="572"/>
      <c r="AO15" s="593"/>
      <c r="AP15" s="572"/>
      <c r="AQ15" s="593"/>
      <c r="AR15" s="690"/>
      <c r="AS15" s="593"/>
      <c r="AT15" s="698">
        <f>SUM([1]UTILIZACION_2014!$K$27:$AH$27)</f>
        <v>73.595208326489129</v>
      </c>
      <c r="AU15" s="593" t="s">
        <v>21</v>
      </c>
      <c r="AV15" s="698">
        <f>SUM([1]UTILIZACION_2015!$K$27:$AH$27)</f>
        <v>70.82969238510691</v>
      </c>
      <c r="AW15" s="593" t="s">
        <v>21</v>
      </c>
      <c r="AX15" s="698">
        <f>SUM([1]UTILIZACION_2016p!$K$27:$AH$27)</f>
        <v>72.965257538741298</v>
      </c>
      <c r="AY15" s="593" t="s">
        <v>21</v>
      </c>
      <c r="AZ15" s="572"/>
      <c r="BA15" s="593"/>
      <c r="BD15" s="612">
        <v>7</v>
      </c>
      <c r="BE15" s="656" t="s">
        <v>373</v>
      </c>
      <c r="BF15" s="612" t="s">
        <v>205</v>
      </c>
      <c r="BG15" s="81" t="s">
        <v>466</v>
      </c>
      <c r="BH15" s="270"/>
      <c r="BI15" s="79" t="str">
        <f t="shared" si="1"/>
        <v>N/A</v>
      </c>
      <c r="BJ15" s="270"/>
      <c r="BK15" s="82" t="str">
        <f t="shared" si="2"/>
        <v>N/A</v>
      </c>
      <c r="BL15" s="82"/>
      <c r="BM15" s="82" t="str">
        <f t="shared" si="3"/>
        <v>N/A</v>
      </c>
      <c r="BN15" s="82"/>
      <c r="BO15" s="82" t="str">
        <f t="shared" si="4"/>
        <v>N/A</v>
      </c>
      <c r="BP15" s="82"/>
      <c r="BQ15" s="82" t="str">
        <f t="shared" si="5"/>
        <v>N/A</v>
      </c>
      <c r="BR15" s="82"/>
      <c r="BS15" s="82" t="str">
        <f t="shared" si="6"/>
        <v>N/A</v>
      </c>
      <c r="BT15" s="82"/>
      <c r="BU15" s="82" t="str">
        <f t="shared" si="7"/>
        <v>N/A</v>
      </c>
      <c r="BV15" s="82"/>
      <c r="BW15" s="82" t="str">
        <f t="shared" si="8"/>
        <v>N/A</v>
      </c>
      <c r="BX15" s="82"/>
      <c r="BY15" s="82" t="str">
        <f t="shared" si="9"/>
        <v>N/A</v>
      </c>
      <c r="BZ15" s="82"/>
      <c r="CA15" s="82" t="str">
        <f t="shared" si="10"/>
        <v>N/A</v>
      </c>
      <c r="CB15" s="82"/>
      <c r="CC15" s="82" t="str">
        <f t="shared" si="11"/>
        <v>N/A</v>
      </c>
      <c r="CD15" s="82"/>
      <c r="CE15" s="82" t="str">
        <f t="shared" si="12"/>
        <v>N/A</v>
      </c>
      <c r="CF15" s="82"/>
      <c r="CG15" s="82" t="str">
        <f t="shared" si="13"/>
        <v>N/A</v>
      </c>
      <c r="CH15" s="82"/>
      <c r="CI15" s="82" t="str">
        <f t="shared" si="14"/>
        <v>N/A</v>
      </c>
      <c r="CJ15" s="82"/>
      <c r="CK15" s="82" t="str">
        <f t="shared" si="15"/>
        <v>N/A</v>
      </c>
      <c r="CL15" s="82"/>
      <c r="CM15" s="82" t="str">
        <f t="shared" si="16"/>
        <v>N/A</v>
      </c>
      <c r="CN15" s="82"/>
      <c r="CO15" s="82" t="str">
        <f t="shared" si="17"/>
        <v>N/A</v>
      </c>
      <c r="CP15" s="82"/>
      <c r="CQ15" s="82" t="str">
        <f t="shared" si="18"/>
        <v>N/A</v>
      </c>
      <c r="CR15" s="82"/>
      <c r="CS15" s="82" t="str">
        <f t="shared" si="19"/>
        <v>N/A</v>
      </c>
      <c r="CT15" s="82"/>
      <c r="CU15" s="82" t="str">
        <f t="shared" si="20"/>
        <v>N/A</v>
      </c>
      <c r="CV15" s="82"/>
      <c r="CW15" s="82" t="str">
        <f t="shared" si="21"/>
        <v>ok</v>
      </c>
      <c r="CX15" s="82"/>
      <c r="CY15" s="82" t="str">
        <f t="shared" si="22"/>
        <v>ok</v>
      </c>
      <c r="CZ15" s="82"/>
      <c r="DA15" s="82" t="str">
        <f t="shared" si="0"/>
        <v>N/A</v>
      </c>
    </row>
    <row r="16" spans="1:105" ht="40.9" customHeight="1" x14ac:dyDescent="0.2">
      <c r="B16" s="257">
        <v>44</v>
      </c>
      <c r="C16" s="260">
        <v>8</v>
      </c>
      <c r="D16" s="675" t="s">
        <v>575</v>
      </c>
      <c r="E16" s="267" t="s">
        <v>558</v>
      </c>
      <c r="F16" s="572"/>
      <c r="G16" s="593"/>
      <c r="H16" s="572"/>
      <c r="I16" s="593"/>
      <c r="J16" s="572"/>
      <c r="K16" s="593"/>
      <c r="L16" s="572"/>
      <c r="M16" s="593"/>
      <c r="N16" s="572"/>
      <c r="O16" s="593"/>
      <c r="P16" s="572"/>
      <c r="Q16" s="593"/>
      <c r="R16" s="572"/>
      <c r="S16" s="593"/>
      <c r="T16" s="572"/>
      <c r="U16" s="593"/>
      <c r="V16" s="572"/>
      <c r="W16" s="593"/>
      <c r="X16" s="572"/>
      <c r="Y16" s="593"/>
      <c r="Z16" s="572"/>
      <c r="AA16" s="593"/>
      <c r="AB16" s="572"/>
      <c r="AC16" s="593"/>
      <c r="AD16" s="572"/>
      <c r="AE16" s="593"/>
      <c r="AF16" s="572"/>
      <c r="AG16" s="593"/>
      <c r="AH16" s="572"/>
      <c r="AI16" s="593"/>
      <c r="AJ16" s="572"/>
      <c r="AK16" s="593"/>
      <c r="AL16" s="572"/>
      <c r="AM16" s="593"/>
      <c r="AN16" s="572"/>
      <c r="AO16" s="593"/>
      <c r="AP16" s="572"/>
      <c r="AQ16" s="593"/>
      <c r="AR16" s="690"/>
      <c r="AS16" s="593"/>
      <c r="AT16" s="572"/>
      <c r="AU16" s="593"/>
      <c r="AV16" s="572"/>
      <c r="AW16" s="593"/>
      <c r="AX16" s="572"/>
      <c r="AY16" s="593"/>
      <c r="AZ16" s="572"/>
      <c r="BA16" s="593"/>
      <c r="BD16" s="646">
        <v>8</v>
      </c>
      <c r="BE16" s="657" t="s">
        <v>603</v>
      </c>
      <c r="BF16" s="612" t="s">
        <v>205</v>
      </c>
      <c r="BG16" s="81"/>
      <c r="BH16" s="270"/>
      <c r="BI16" s="79" t="str">
        <f t="shared" si="1"/>
        <v>N/A</v>
      </c>
      <c r="BJ16" s="270"/>
      <c r="BK16" s="82" t="str">
        <f t="shared" si="2"/>
        <v>N/A</v>
      </c>
      <c r="BL16" s="82"/>
      <c r="BM16" s="82" t="str">
        <f t="shared" si="3"/>
        <v>N/A</v>
      </c>
      <c r="BN16" s="82"/>
      <c r="BO16" s="82" t="str">
        <f t="shared" si="4"/>
        <v>N/A</v>
      </c>
      <c r="BP16" s="82"/>
      <c r="BQ16" s="82" t="str">
        <f t="shared" si="5"/>
        <v>N/A</v>
      </c>
      <c r="BR16" s="82"/>
      <c r="BS16" s="82" t="str">
        <f t="shared" si="6"/>
        <v>N/A</v>
      </c>
      <c r="BT16" s="82"/>
      <c r="BU16" s="82" t="str">
        <f t="shared" si="7"/>
        <v>N/A</v>
      </c>
      <c r="BV16" s="82"/>
      <c r="BW16" s="82" t="str">
        <f t="shared" si="8"/>
        <v>N/A</v>
      </c>
      <c r="BX16" s="82"/>
      <c r="BY16" s="82" t="str">
        <f t="shared" si="9"/>
        <v>N/A</v>
      </c>
      <c r="BZ16" s="82"/>
      <c r="CA16" s="82" t="str">
        <f t="shared" si="10"/>
        <v>N/A</v>
      </c>
      <c r="CB16" s="82"/>
      <c r="CC16" s="82" t="str">
        <f t="shared" si="11"/>
        <v>N/A</v>
      </c>
      <c r="CD16" s="82"/>
      <c r="CE16" s="82" t="str">
        <f t="shared" si="12"/>
        <v>N/A</v>
      </c>
      <c r="CF16" s="82"/>
      <c r="CG16" s="82" t="str">
        <f t="shared" si="13"/>
        <v>N/A</v>
      </c>
      <c r="CH16" s="82"/>
      <c r="CI16" s="82" t="str">
        <f t="shared" si="14"/>
        <v>N/A</v>
      </c>
      <c r="CJ16" s="82"/>
      <c r="CK16" s="82" t="str">
        <f t="shared" si="15"/>
        <v>N/A</v>
      </c>
      <c r="CL16" s="82"/>
      <c r="CM16" s="82" t="str">
        <f t="shared" si="16"/>
        <v>N/A</v>
      </c>
      <c r="CN16" s="82"/>
      <c r="CO16" s="82" t="str">
        <f t="shared" si="17"/>
        <v>N/A</v>
      </c>
      <c r="CP16" s="82"/>
      <c r="CQ16" s="82" t="str">
        <f t="shared" si="18"/>
        <v>N/A</v>
      </c>
      <c r="CR16" s="82"/>
      <c r="CS16" s="82" t="str">
        <f t="shared" si="19"/>
        <v>N/A</v>
      </c>
      <c r="CT16" s="82"/>
      <c r="CU16" s="82" t="str">
        <f t="shared" si="20"/>
        <v>N/A</v>
      </c>
      <c r="CV16" s="82"/>
      <c r="CW16" s="82" t="str">
        <f t="shared" si="21"/>
        <v>N/A</v>
      </c>
      <c r="CX16" s="82"/>
      <c r="CY16" s="82" t="str">
        <f t="shared" si="22"/>
        <v>N/A</v>
      </c>
      <c r="CZ16" s="82"/>
      <c r="DA16" s="82" t="str">
        <f>IF(OR(ISBLANK(AX16),ISBLANK(AZ16)),"N/A",IF(ABS((AZ16-AX16)/AX16)&gt;0.25,"&gt; 25%","ok"))</f>
        <v>N/A</v>
      </c>
    </row>
    <row r="17" spans="1:105" ht="24" customHeight="1" x14ac:dyDescent="0.2">
      <c r="B17" s="257">
        <v>82</v>
      </c>
      <c r="C17" s="260">
        <v>9</v>
      </c>
      <c r="D17" s="676" t="s">
        <v>580</v>
      </c>
      <c r="E17" s="267" t="s">
        <v>558</v>
      </c>
      <c r="F17" s="572"/>
      <c r="G17" s="593"/>
      <c r="H17" s="572"/>
      <c r="I17" s="593"/>
      <c r="J17" s="572"/>
      <c r="K17" s="593"/>
      <c r="L17" s="572"/>
      <c r="M17" s="593"/>
      <c r="N17" s="572"/>
      <c r="O17" s="593"/>
      <c r="P17" s="572"/>
      <c r="Q17" s="593"/>
      <c r="R17" s="572"/>
      <c r="S17" s="593"/>
      <c r="T17" s="572"/>
      <c r="U17" s="593"/>
      <c r="V17" s="572"/>
      <c r="W17" s="593"/>
      <c r="X17" s="572"/>
      <c r="Y17" s="593"/>
      <c r="Z17" s="572"/>
      <c r="AA17" s="593"/>
      <c r="AB17" s="572"/>
      <c r="AC17" s="593"/>
      <c r="AD17" s="572"/>
      <c r="AE17" s="593"/>
      <c r="AF17" s="572"/>
      <c r="AG17" s="593"/>
      <c r="AH17" s="572"/>
      <c r="AI17" s="593"/>
      <c r="AJ17" s="572"/>
      <c r="AK17" s="593"/>
      <c r="AL17" s="572"/>
      <c r="AM17" s="593"/>
      <c r="AN17" s="572"/>
      <c r="AO17" s="593"/>
      <c r="AP17" s="572"/>
      <c r="AQ17" s="593"/>
      <c r="AR17" s="690"/>
      <c r="AS17" s="593"/>
      <c r="AT17" s="572"/>
      <c r="AU17" s="593"/>
      <c r="AV17" s="572"/>
      <c r="AW17" s="593"/>
      <c r="AX17" s="572"/>
      <c r="AY17" s="593"/>
      <c r="AZ17" s="572"/>
      <c r="BA17" s="593"/>
      <c r="BD17" s="646">
        <v>9</v>
      </c>
      <c r="BE17" s="658" t="s">
        <v>604</v>
      </c>
      <c r="BF17" s="612" t="s">
        <v>205</v>
      </c>
      <c r="BG17" s="81" t="s">
        <v>466</v>
      </c>
      <c r="BH17" s="270"/>
      <c r="BI17" s="79" t="str">
        <f t="shared" si="1"/>
        <v>N/A</v>
      </c>
      <c r="BJ17" s="270"/>
      <c r="BK17" s="82" t="str">
        <f t="shared" si="2"/>
        <v>N/A</v>
      </c>
      <c r="BL17" s="82"/>
      <c r="BM17" s="82" t="str">
        <f t="shared" si="3"/>
        <v>N/A</v>
      </c>
      <c r="BN17" s="82"/>
      <c r="BO17" s="82" t="str">
        <f t="shared" si="4"/>
        <v>N/A</v>
      </c>
      <c r="BP17" s="82"/>
      <c r="BQ17" s="82" t="str">
        <f t="shared" si="5"/>
        <v>N/A</v>
      </c>
      <c r="BR17" s="82"/>
      <c r="BS17" s="82" t="str">
        <f t="shared" si="6"/>
        <v>N/A</v>
      </c>
      <c r="BT17" s="82"/>
      <c r="BU17" s="82" t="str">
        <f t="shared" si="7"/>
        <v>N/A</v>
      </c>
      <c r="BV17" s="82"/>
      <c r="BW17" s="82" t="str">
        <f t="shared" si="8"/>
        <v>N/A</v>
      </c>
      <c r="BX17" s="82"/>
      <c r="BY17" s="82" t="str">
        <f t="shared" si="9"/>
        <v>N/A</v>
      </c>
      <c r="BZ17" s="82"/>
      <c r="CA17" s="82" t="str">
        <f t="shared" si="10"/>
        <v>N/A</v>
      </c>
      <c r="CB17" s="82"/>
      <c r="CC17" s="82" t="str">
        <f t="shared" si="11"/>
        <v>N/A</v>
      </c>
      <c r="CD17" s="82"/>
      <c r="CE17" s="82" t="str">
        <f t="shared" si="12"/>
        <v>N/A</v>
      </c>
      <c r="CF17" s="82"/>
      <c r="CG17" s="82" t="str">
        <f t="shared" si="13"/>
        <v>N/A</v>
      </c>
      <c r="CH17" s="82"/>
      <c r="CI17" s="82" t="str">
        <f t="shared" si="14"/>
        <v>N/A</v>
      </c>
      <c r="CJ17" s="82"/>
      <c r="CK17" s="82" t="str">
        <f t="shared" si="15"/>
        <v>N/A</v>
      </c>
      <c r="CL17" s="82"/>
      <c r="CM17" s="82" t="str">
        <f t="shared" si="16"/>
        <v>N/A</v>
      </c>
      <c r="CN17" s="82"/>
      <c r="CO17" s="82" t="str">
        <f t="shared" si="17"/>
        <v>N/A</v>
      </c>
      <c r="CP17" s="82"/>
      <c r="CQ17" s="82" t="str">
        <f t="shared" si="18"/>
        <v>N/A</v>
      </c>
      <c r="CR17" s="82"/>
      <c r="CS17" s="82" t="str">
        <f t="shared" si="19"/>
        <v>N/A</v>
      </c>
      <c r="CT17" s="82"/>
      <c r="CU17" s="82" t="str">
        <f t="shared" si="20"/>
        <v>N/A</v>
      </c>
      <c r="CV17" s="82"/>
      <c r="CW17" s="82" t="str">
        <f t="shared" si="21"/>
        <v>N/A</v>
      </c>
      <c r="CX17" s="82"/>
      <c r="CY17" s="82" t="str">
        <f t="shared" si="22"/>
        <v>N/A</v>
      </c>
      <c r="CZ17" s="82"/>
      <c r="DA17" s="82" t="str">
        <f t="shared" si="0"/>
        <v>N/A</v>
      </c>
    </row>
    <row r="18" spans="1:105" ht="18.95" customHeight="1" x14ac:dyDescent="0.2">
      <c r="B18" s="257">
        <v>46</v>
      </c>
      <c r="C18" s="260">
        <v>10</v>
      </c>
      <c r="D18" s="473" t="s">
        <v>576</v>
      </c>
      <c r="E18" s="267" t="s">
        <v>558</v>
      </c>
      <c r="F18" s="583"/>
      <c r="G18" s="598"/>
      <c r="H18" s="583"/>
      <c r="I18" s="598"/>
      <c r="J18" s="583"/>
      <c r="K18" s="598"/>
      <c r="L18" s="583"/>
      <c r="M18" s="598"/>
      <c r="N18" s="583"/>
      <c r="O18" s="598"/>
      <c r="P18" s="583"/>
      <c r="Q18" s="598"/>
      <c r="R18" s="583"/>
      <c r="S18" s="598"/>
      <c r="T18" s="583"/>
      <c r="U18" s="598"/>
      <c r="V18" s="583"/>
      <c r="W18" s="598"/>
      <c r="X18" s="583"/>
      <c r="Y18" s="598"/>
      <c r="Z18" s="583"/>
      <c r="AA18" s="598"/>
      <c r="AB18" s="583"/>
      <c r="AC18" s="598"/>
      <c r="AD18" s="583"/>
      <c r="AE18" s="598"/>
      <c r="AF18" s="583"/>
      <c r="AG18" s="598"/>
      <c r="AH18" s="583"/>
      <c r="AI18" s="598"/>
      <c r="AJ18" s="583"/>
      <c r="AK18" s="598"/>
      <c r="AL18" s="583"/>
      <c r="AM18" s="598"/>
      <c r="AN18" s="583"/>
      <c r="AO18" s="598"/>
      <c r="AP18" s="583"/>
      <c r="AQ18" s="598"/>
      <c r="AR18" s="697"/>
      <c r="AS18" s="598"/>
      <c r="AT18" s="583"/>
      <c r="AU18" s="598"/>
      <c r="AV18" s="583"/>
      <c r="AW18" s="598"/>
      <c r="AX18" s="583"/>
      <c r="AY18" s="598"/>
      <c r="AZ18" s="583"/>
      <c r="BA18" s="598"/>
      <c r="BD18" s="646">
        <v>10</v>
      </c>
      <c r="BE18" s="655" t="s">
        <v>587</v>
      </c>
      <c r="BF18" s="612" t="s">
        <v>205</v>
      </c>
      <c r="BG18" s="280"/>
      <c r="BH18" s="281"/>
      <c r="BI18" s="79" t="str">
        <f t="shared" si="1"/>
        <v>N/A</v>
      </c>
      <c r="BJ18" s="270"/>
      <c r="BK18" s="82" t="str">
        <f t="shared" si="2"/>
        <v>N/A</v>
      </c>
      <c r="BL18" s="82"/>
      <c r="BM18" s="82" t="str">
        <f t="shared" si="3"/>
        <v>N/A</v>
      </c>
      <c r="BN18" s="82"/>
      <c r="BO18" s="82" t="str">
        <f t="shared" si="4"/>
        <v>N/A</v>
      </c>
      <c r="BP18" s="82"/>
      <c r="BQ18" s="82" t="str">
        <f t="shared" si="5"/>
        <v>N/A</v>
      </c>
      <c r="BR18" s="82"/>
      <c r="BS18" s="82" t="str">
        <f t="shared" si="6"/>
        <v>N/A</v>
      </c>
      <c r="BT18" s="82"/>
      <c r="BU18" s="82" t="str">
        <f t="shared" si="7"/>
        <v>N/A</v>
      </c>
      <c r="BV18" s="82"/>
      <c r="BW18" s="82" t="str">
        <f t="shared" si="8"/>
        <v>N/A</v>
      </c>
      <c r="BX18" s="82"/>
      <c r="BY18" s="82" t="str">
        <f t="shared" si="9"/>
        <v>N/A</v>
      </c>
      <c r="BZ18" s="82"/>
      <c r="CA18" s="82" t="str">
        <f t="shared" si="10"/>
        <v>N/A</v>
      </c>
      <c r="CB18" s="82"/>
      <c r="CC18" s="82" t="str">
        <f t="shared" si="11"/>
        <v>N/A</v>
      </c>
      <c r="CD18" s="82"/>
      <c r="CE18" s="82" t="str">
        <f t="shared" si="12"/>
        <v>N/A</v>
      </c>
      <c r="CF18" s="82"/>
      <c r="CG18" s="82" t="str">
        <f t="shared" si="13"/>
        <v>N/A</v>
      </c>
      <c r="CH18" s="82"/>
      <c r="CI18" s="82" t="str">
        <f t="shared" si="14"/>
        <v>N/A</v>
      </c>
      <c r="CJ18" s="82"/>
      <c r="CK18" s="82" t="str">
        <f t="shared" si="15"/>
        <v>N/A</v>
      </c>
      <c r="CL18" s="82"/>
      <c r="CM18" s="82" t="str">
        <f t="shared" si="16"/>
        <v>N/A</v>
      </c>
      <c r="CN18" s="82"/>
      <c r="CO18" s="82" t="str">
        <f t="shared" si="17"/>
        <v>N/A</v>
      </c>
      <c r="CP18" s="82"/>
      <c r="CQ18" s="82" t="str">
        <f t="shared" si="18"/>
        <v>N/A</v>
      </c>
      <c r="CR18" s="82"/>
      <c r="CS18" s="82" t="str">
        <f t="shared" si="19"/>
        <v>N/A</v>
      </c>
      <c r="CT18" s="82"/>
      <c r="CU18" s="82" t="str">
        <f t="shared" si="20"/>
        <v>N/A</v>
      </c>
      <c r="CV18" s="82"/>
      <c r="CW18" s="82" t="str">
        <f t="shared" si="21"/>
        <v>N/A</v>
      </c>
      <c r="CX18" s="82"/>
      <c r="CY18" s="82" t="str">
        <f t="shared" si="22"/>
        <v>N/A</v>
      </c>
      <c r="CZ18" s="82"/>
      <c r="DA18" s="82" t="str">
        <f>IF(OR(ISBLANK(AX18),ISBLANK(AZ18)),"N/A",IF(ABS((AZ18-AX18)/AX18)&gt;0.25,"&gt; 25%","ok"))</f>
        <v>N/A</v>
      </c>
    </row>
    <row r="19" spans="1:105" ht="18.95" customHeight="1" x14ac:dyDescent="0.2">
      <c r="B19" s="257">
        <v>48</v>
      </c>
      <c r="C19" s="394">
        <v>11</v>
      </c>
      <c r="D19" s="474" t="s">
        <v>530</v>
      </c>
      <c r="E19" s="267" t="s">
        <v>558</v>
      </c>
      <c r="F19" s="583"/>
      <c r="G19" s="598"/>
      <c r="H19" s="583"/>
      <c r="I19" s="598"/>
      <c r="J19" s="583"/>
      <c r="K19" s="598"/>
      <c r="L19" s="583"/>
      <c r="M19" s="598"/>
      <c r="N19" s="583"/>
      <c r="O19" s="598"/>
      <c r="P19" s="583"/>
      <c r="Q19" s="598"/>
      <c r="R19" s="583"/>
      <c r="S19" s="598"/>
      <c r="T19" s="583"/>
      <c r="U19" s="598"/>
      <c r="V19" s="583"/>
      <c r="W19" s="598"/>
      <c r="X19" s="583"/>
      <c r="Y19" s="598"/>
      <c r="Z19" s="583"/>
      <c r="AA19" s="598"/>
      <c r="AB19" s="583"/>
      <c r="AC19" s="598"/>
      <c r="AD19" s="583"/>
      <c r="AE19" s="598"/>
      <c r="AF19" s="583"/>
      <c r="AG19" s="598"/>
      <c r="AH19" s="583"/>
      <c r="AI19" s="598"/>
      <c r="AJ19" s="583"/>
      <c r="AK19" s="598"/>
      <c r="AL19" s="583"/>
      <c r="AM19" s="598"/>
      <c r="AN19" s="583"/>
      <c r="AO19" s="598"/>
      <c r="AP19" s="583"/>
      <c r="AQ19" s="598"/>
      <c r="AR19" s="583"/>
      <c r="AS19" s="598"/>
      <c r="AT19" s="583"/>
      <c r="AU19" s="598"/>
      <c r="AV19" s="583"/>
      <c r="AW19" s="598"/>
      <c r="AX19" s="583"/>
      <c r="AY19" s="598"/>
      <c r="AZ19" s="583"/>
      <c r="BA19" s="598"/>
      <c r="BD19" s="612">
        <v>11</v>
      </c>
      <c r="BE19" s="659" t="s">
        <v>211</v>
      </c>
      <c r="BF19" s="612" t="s">
        <v>205</v>
      </c>
      <c r="BG19" s="280" t="s">
        <v>466</v>
      </c>
      <c r="BH19" s="281"/>
      <c r="BI19" s="79" t="str">
        <f t="shared" si="1"/>
        <v>N/A</v>
      </c>
      <c r="BJ19" s="281"/>
      <c r="BK19" s="82" t="str">
        <f t="shared" si="2"/>
        <v>N/A</v>
      </c>
      <c r="BL19" s="82"/>
      <c r="BM19" s="82" t="str">
        <f t="shared" si="3"/>
        <v>N/A</v>
      </c>
      <c r="BN19" s="82"/>
      <c r="BO19" s="82" t="str">
        <f t="shared" si="4"/>
        <v>N/A</v>
      </c>
      <c r="BP19" s="82"/>
      <c r="BQ19" s="82" t="str">
        <f t="shared" si="5"/>
        <v>N/A</v>
      </c>
      <c r="BR19" s="82"/>
      <c r="BS19" s="82" t="str">
        <f t="shared" si="6"/>
        <v>N/A</v>
      </c>
      <c r="BT19" s="82"/>
      <c r="BU19" s="82" t="str">
        <f t="shared" si="7"/>
        <v>N/A</v>
      </c>
      <c r="BV19" s="82"/>
      <c r="BW19" s="82" t="str">
        <f t="shared" si="8"/>
        <v>N/A</v>
      </c>
      <c r="BX19" s="82"/>
      <c r="BY19" s="82" t="str">
        <f t="shared" si="9"/>
        <v>N/A</v>
      </c>
      <c r="BZ19" s="82"/>
      <c r="CA19" s="82" t="str">
        <f t="shared" si="10"/>
        <v>N/A</v>
      </c>
      <c r="CB19" s="82"/>
      <c r="CC19" s="82" t="str">
        <f t="shared" si="11"/>
        <v>N/A</v>
      </c>
      <c r="CD19" s="82"/>
      <c r="CE19" s="82" t="str">
        <f t="shared" si="12"/>
        <v>N/A</v>
      </c>
      <c r="CF19" s="82"/>
      <c r="CG19" s="82" t="str">
        <f t="shared" si="13"/>
        <v>N/A</v>
      </c>
      <c r="CH19" s="82"/>
      <c r="CI19" s="82" t="str">
        <f t="shared" si="14"/>
        <v>N/A</v>
      </c>
      <c r="CJ19" s="82"/>
      <c r="CK19" s="82" t="str">
        <f t="shared" si="15"/>
        <v>N/A</v>
      </c>
      <c r="CL19" s="82"/>
      <c r="CM19" s="82" t="str">
        <f t="shared" si="16"/>
        <v>N/A</v>
      </c>
      <c r="CN19" s="82"/>
      <c r="CO19" s="82" t="str">
        <f t="shared" si="17"/>
        <v>N/A</v>
      </c>
      <c r="CP19" s="82"/>
      <c r="CQ19" s="82" t="str">
        <f t="shared" si="18"/>
        <v>N/A</v>
      </c>
      <c r="CR19" s="82"/>
      <c r="CS19" s="82" t="str">
        <f t="shared" si="19"/>
        <v>N/A</v>
      </c>
      <c r="CT19" s="82"/>
      <c r="CU19" s="82" t="str">
        <f t="shared" si="20"/>
        <v>N/A</v>
      </c>
      <c r="CV19" s="82"/>
      <c r="CW19" s="82" t="str">
        <f t="shared" si="21"/>
        <v>N/A</v>
      </c>
      <c r="CX19" s="82"/>
      <c r="CY19" s="82" t="str">
        <f t="shared" si="22"/>
        <v>N/A</v>
      </c>
      <c r="CZ19" s="82"/>
      <c r="DA19" s="82" t="str">
        <f t="shared" si="0"/>
        <v>N/A</v>
      </c>
    </row>
    <row r="20" spans="1:105" ht="15.95" customHeight="1" x14ac:dyDescent="0.2">
      <c r="B20" s="199">
        <v>5009</v>
      </c>
      <c r="C20" s="280"/>
      <c r="D20" s="475" t="s">
        <v>531</v>
      </c>
      <c r="E20" s="280"/>
      <c r="F20" s="645"/>
      <c r="G20" s="613"/>
      <c r="H20" s="645"/>
      <c r="I20" s="613"/>
      <c r="J20" s="645"/>
      <c r="K20" s="613"/>
      <c r="L20" s="645"/>
      <c r="M20" s="613"/>
      <c r="N20" s="613"/>
      <c r="O20" s="613"/>
      <c r="P20" s="645"/>
      <c r="Q20" s="613"/>
      <c r="R20" s="645"/>
      <c r="S20" s="613"/>
      <c r="T20" s="645"/>
      <c r="U20" s="613"/>
      <c r="V20" s="645"/>
      <c r="W20" s="613"/>
      <c r="X20" s="645"/>
      <c r="Y20" s="613"/>
      <c r="Z20" s="645"/>
      <c r="AA20" s="613"/>
      <c r="AB20" s="645"/>
      <c r="AC20" s="613"/>
      <c r="AD20" s="645"/>
      <c r="AE20" s="613"/>
      <c r="AF20" s="645"/>
      <c r="AG20" s="613"/>
      <c r="AH20" s="645"/>
      <c r="AI20" s="613"/>
      <c r="AJ20" s="645"/>
      <c r="AK20" s="613"/>
      <c r="AL20" s="645"/>
      <c r="AM20" s="613"/>
      <c r="AN20" s="645"/>
      <c r="AO20" s="613"/>
      <c r="AP20" s="645"/>
      <c r="AQ20" s="613"/>
      <c r="AR20" s="645"/>
      <c r="AS20" s="613"/>
      <c r="AT20" s="645"/>
      <c r="AU20" s="613"/>
      <c r="AV20" s="645"/>
      <c r="AW20" s="613"/>
      <c r="AX20" s="645"/>
      <c r="AY20" s="613"/>
      <c r="AZ20" s="645"/>
      <c r="BA20" s="613"/>
      <c r="BD20" s="660"/>
      <c r="BE20" s="661" t="s">
        <v>372</v>
      </c>
      <c r="BF20" s="660"/>
      <c r="BG20" s="280" t="s">
        <v>466</v>
      </c>
      <c r="BH20" s="281"/>
      <c r="BI20" s="79"/>
      <c r="BJ20" s="281"/>
      <c r="BK20" s="476"/>
      <c r="BL20" s="281"/>
      <c r="BM20" s="476"/>
      <c r="BN20" s="281"/>
      <c r="BO20" s="476"/>
      <c r="BP20" s="281"/>
      <c r="BQ20" s="476"/>
      <c r="BR20" s="281"/>
      <c r="BS20" s="476"/>
      <c r="BT20" s="281"/>
      <c r="BU20" s="476"/>
      <c r="BV20" s="281"/>
      <c r="BW20" s="280"/>
      <c r="BX20" s="281"/>
      <c r="BY20" s="280"/>
      <c r="BZ20" s="281"/>
      <c r="CA20" s="280"/>
      <c r="CB20" s="281"/>
      <c r="CC20" s="280"/>
      <c r="CD20" s="281"/>
      <c r="CE20" s="280"/>
      <c r="CF20" s="281"/>
      <c r="CG20" s="280"/>
      <c r="CH20" s="281"/>
      <c r="CI20" s="476"/>
      <c r="CJ20" s="281"/>
      <c r="CK20" s="280"/>
      <c r="CL20" s="281"/>
      <c r="CM20" s="280"/>
      <c r="CN20" s="281"/>
      <c r="CO20" s="280"/>
      <c r="CP20" s="281"/>
      <c r="CQ20" s="82"/>
      <c r="CR20" s="281"/>
      <c r="CS20" s="280"/>
      <c r="CT20" s="281"/>
      <c r="CU20" s="280"/>
      <c r="CV20" s="281"/>
      <c r="CW20" s="280"/>
      <c r="CX20" s="281"/>
      <c r="CY20" s="280"/>
      <c r="CZ20" s="281"/>
      <c r="DA20" s="82"/>
    </row>
    <row r="21" spans="1:105" s="477" customFormat="1" ht="36" customHeight="1" x14ac:dyDescent="0.2">
      <c r="A21" s="415"/>
      <c r="B21" s="257">
        <v>277</v>
      </c>
      <c r="C21" s="398">
        <v>12</v>
      </c>
      <c r="D21" s="276" t="s">
        <v>549</v>
      </c>
      <c r="E21" s="267" t="s">
        <v>194</v>
      </c>
      <c r="F21" s="572"/>
      <c r="G21" s="593"/>
      <c r="H21" s="572"/>
      <c r="I21" s="593"/>
      <c r="J21" s="572"/>
      <c r="K21" s="593"/>
      <c r="L21" s="572"/>
      <c r="M21" s="593"/>
      <c r="N21" s="593"/>
      <c r="O21" s="593"/>
      <c r="P21" s="572"/>
      <c r="Q21" s="593"/>
      <c r="R21" s="572"/>
      <c r="S21" s="593"/>
      <c r="T21" s="572"/>
      <c r="U21" s="593"/>
      <c r="V21" s="572"/>
      <c r="W21" s="593"/>
      <c r="X21" s="572"/>
      <c r="Y21" s="593"/>
      <c r="Z21" s="572"/>
      <c r="AA21" s="593"/>
      <c r="AB21" s="572"/>
      <c r="AC21" s="593"/>
      <c r="AD21" s="572"/>
      <c r="AE21" s="593"/>
      <c r="AF21" s="572"/>
      <c r="AG21" s="593"/>
      <c r="AH21" s="572"/>
      <c r="AI21" s="593"/>
      <c r="AJ21" s="572"/>
      <c r="AK21" s="593"/>
      <c r="AL21" s="572"/>
      <c r="AM21" s="593"/>
      <c r="AN21" s="572"/>
      <c r="AO21" s="593"/>
      <c r="AP21" s="572"/>
      <c r="AQ21" s="593"/>
      <c r="AR21" s="572"/>
      <c r="AS21" s="593"/>
      <c r="AT21" s="572"/>
      <c r="AU21" s="593"/>
      <c r="AV21" s="572"/>
      <c r="AW21" s="593"/>
      <c r="AX21" s="572"/>
      <c r="AY21" s="593"/>
      <c r="AZ21" s="572"/>
      <c r="BA21" s="593"/>
      <c r="BC21" s="413"/>
      <c r="BD21" s="642">
        <v>12</v>
      </c>
      <c r="BE21" s="653" t="s">
        <v>416</v>
      </c>
      <c r="BF21" s="612" t="s">
        <v>194</v>
      </c>
      <c r="BG21" s="81" t="s">
        <v>466</v>
      </c>
      <c r="BH21" s="270"/>
      <c r="BI21" s="82" t="str">
        <f>IF(OR(ISBLANK(F21),ISBLANK(H21)),"N/A",IF(ABS(H21-F21)&gt;25,"&gt; 25%","ok"))</f>
        <v>N/A</v>
      </c>
      <c r="BJ21" s="270"/>
      <c r="BK21" s="82" t="str">
        <f>IF(OR(ISBLANK(H21),ISBLANK(J21)),"N/A",IF(ABS(J21-H21)&gt;25,"&gt; 25%","ok"))</f>
        <v>N/A</v>
      </c>
      <c r="BL21" s="82"/>
      <c r="BM21" s="82" t="str">
        <f>IF(OR(ISBLANK(J21),ISBLANK(L21)),"N/A",IF(ABS(L21-J21)&gt;25,"&gt; 25%","ok"))</f>
        <v>N/A</v>
      </c>
      <c r="BN21" s="82"/>
      <c r="BO21" s="82" t="str">
        <f>IF(OR(ISBLANK(L21),ISBLANK(N21)),"N/A",IF(ABS(N21-L21)&gt;25,"&gt; 25%","ok"))</f>
        <v>N/A</v>
      </c>
      <c r="BP21" s="82"/>
      <c r="BQ21" s="82" t="str">
        <f>IF(OR(ISBLANK(N21),ISBLANK(P21)),"N/A",IF(ABS(P21-N21)&gt;25,"&gt; 25%","ok"))</f>
        <v>N/A</v>
      </c>
      <c r="BR21" s="82"/>
      <c r="BS21" s="82" t="str">
        <f>IF(OR(ISBLANK(P21),ISBLANK(R21)),"N/A",IF(ABS(R21-P21)&gt;25,"&gt; 25%","ok"))</f>
        <v>N/A</v>
      </c>
      <c r="BT21" s="82"/>
      <c r="BU21" s="82" t="str">
        <f>IF(OR(ISBLANK(R21),ISBLANK(T21)),"N/A",IF(ABS(T21-R21)&gt;25,"&gt; 25%","ok"))</f>
        <v>N/A</v>
      </c>
      <c r="BV21" s="82"/>
      <c r="BW21" s="82" t="str">
        <f>IF(OR(ISBLANK(T21),ISBLANK(V21)),"N/A",IF(ABS(V21-T21)&gt;25,"&gt; 25%","ok"))</f>
        <v>N/A</v>
      </c>
      <c r="BX21" s="82"/>
      <c r="BY21" s="82" t="str">
        <f>IF(OR(ISBLANK(V21),ISBLANK(X21)),"N/A",IF(ABS(X21-V21)&gt;25,"&gt; 25%","ok"))</f>
        <v>N/A</v>
      </c>
      <c r="BZ21" s="82"/>
      <c r="CA21" s="82" t="str">
        <f>IF(OR(ISBLANK(X21),ISBLANK(Z21)),"N/A",IF(ABS(Z21-X21)&gt;25,"&gt; 25%","ok"))</f>
        <v>N/A</v>
      </c>
      <c r="CB21" s="82"/>
      <c r="CC21" s="82" t="str">
        <f>IF(OR(ISBLANK(Z21),ISBLANK(AB21)),"N/A",IF(ABS(AB21-Z21)&gt;25,"&gt; 25%","ok"))</f>
        <v>N/A</v>
      </c>
      <c r="CD21" s="82"/>
      <c r="CE21" s="82" t="str">
        <f>IF(OR(ISBLANK(AB21),ISBLANK(AD21)),"N/A",IF(ABS(AD21-AB21)&gt;25,"&gt; 25%","ok"))</f>
        <v>N/A</v>
      </c>
      <c r="CF21" s="82"/>
      <c r="CG21" s="82" t="str">
        <f>IF(OR(ISBLANK(AD21),ISBLANK(AF21)),"N/A",IF(ABS(AF21-AD21)&gt;25,"&gt; 25%","ok"))</f>
        <v>N/A</v>
      </c>
      <c r="CH21" s="82"/>
      <c r="CI21" s="82" t="str">
        <f>IF(OR(ISBLANK(AF21),ISBLANK(AH21)),"N/A",IF(ABS(AH21-AF21)&gt;25,"&gt; 25%","ok"))</f>
        <v>N/A</v>
      </c>
      <c r="CJ21" s="82"/>
      <c r="CK21" s="82" t="str">
        <f>IF(OR(ISBLANK(AH21),ISBLANK(AJ21)),"N/A",IF(ABS(AJ21-AH21)&gt;25,"&gt; 25%","ok"))</f>
        <v>N/A</v>
      </c>
      <c r="CL21" s="82"/>
      <c r="CM21" s="82" t="str">
        <f>IF(OR(ISBLANK(AJ21),ISBLANK(AL21)),"N/A",IF(ABS(AL21-AJ21)&gt;25,"&gt; 25%","ok"))</f>
        <v>N/A</v>
      </c>
      <c r="CN21" s="82"/>
      <c r="CO21" s="82" t="str">
        <f>IF(OR(ISBLANK(AL21),ISBLANK(AN21)),"N/A",IF(ABS(AN21-AL21)&gt;25,"&gt; 25%","ok"))</f>
        <v>N/A</v>
      </c>
      <c r="CP21" s="82"/>
      <c r="CQ21" s="82" t="str">
        <f>IF(OR(ISBLANK(AN21),ISBLANK(AP21)),"N/A",IF(ABS((AP21-AN21)/AN21)&gt;0.25,"&gt; 25%","ok"))</f>
        <v>N/A</v>
      </c>
      <c r="CR21" s="270"/>
      <c r="CS21" s="82" t="str">
        <f>IF(OR(ISBLANK(AP21),ISBLANK(AR21)),"N/A",IF(ABS(AR21-AP21)&gt;25,"&gt; 25%","ok"))</f>
        <v>N/A</v>
      </c>
      <c r="CT21" s="82"/>
      <c r="CU21" s="82" t="str">
        <f>IF(OR(ISBLANK(AR21),ISBLANK(AT21)),"N/A",IF(ABS(AT21-AR21)&gt;25,"&gt; 25%","ok"))</f>
        <v>N/A</v>
      </c>
      <c r="CV21" s="82"/>
      <c r="CW21" s="82" t="str">
        <f>IF(OR(ISBLANK(AT21),ISBLANK(AV21)),"N/A",IF(ABS(AV21-AT21)&gt;25,"&gt; 25%","ok"))</f>
        <v>N/A</v>
      </c>
      <c r="CX21" s="82"/>
      <c r="CY21" s="82" t="str">
        <f>IF(OR(ISBLANK(AV21),ISBLANK(AX21)),"N/A",IF(ABS(AX21-AV21)&gt;25,"&gt; 25%","ok"))</f>
        <v>N/A</v>
      </c>
      <c r="CZ21" s="82"/>
      <c r="DA21" s="82" t="str">
        <f t="shared" si="0"/>
        <v>N/A</v>
      </c>
    </row>
    <row r="22" spans="1:105" s="477" customFormat="1" ht="24.75" customHeight="1" x14ac:dyDescent="0.2">
      <c r="A22" s="415"/>
      <c r="B22" s="257">
        <v>261</v>
      </c>
      <c r="C22" s="394">
        <v>13</v>
      </c>
      <c r="D22" s="274" t="s">
        <v>495</v>
      </c>
      <c r="E22" s="267" t="s">
        <v>194</v>
      </c>
      <c r="F22" s="572"/>
      <c r="G22" s="593"/>
      <c r="H22" s="572"/>
      <c r="I22" s="593"/>
      <c r="J22" s="572"/>
      <c r="K22" s="593"/>
      <c r="L22" s="572"/>
      <c r="M22" s="593"/>
      <c r="N22" s="593"/>
      <c r="O22" s="593"/>
      <c r="P22" s="572"/>
      <c r="Q22" s="593"/>
      <c r="R22" s="572"/>
      <c r="S22" s="593"/>
      <c r="T22" s="572"/>
      <c r="U22" s="593"/>
      <c r="V22" s="572"/>
      <c r="W22" s="593"/>
      <c r="X22" s="572"/>
      <c r="Y22" s="593"/>
      <c r="Z22" s="572"/>
      <c r="AA22" s="593"/>
      <c r="AB22" s="572"/>
      <c r="AC22" s="593"/>
      <c r="AD22" s="572"/>
      <c r="AE22" s="593"/>
      <c r="AF22" s="572"/>
      <c r="AG22" s="593"/>
      <c r="AH22" s="572"/>
      <c r="AI22" s="593"/>
      <c r="AJ22" s="572"/>
      <c r="AK22" s="593"/>
      <c r="AL22" s="572"/>
      <c r="AM22" s="593"/>
      <c r="AN22" s="572"/>
      <c r="AO22" s="593"/>
      <c r="AP22" s="572"/>
      <c r="AQ22" s="593"/>
      <c r="AR22" s="572"/>
      <c r="AS22" s="593"/>
      <c r="AT22" s="572"/>
      <c r="AU22" s="593"/>
      <c r="AV22" s="572"/>
      <c r="AW22" s="593"/>
      <c r="AX22" s="572"/>
      <c r="AY22" s="593"/>
      <c r="AZ22" s="572"/>
      <c r="BA22" s="593"/>
      <c r="BC22" s="413"/>
      <c r="BD22" s="612">
        <v>13</v>
      </c>
      <c r="BE22" s="654" t="s">
        <v>374</v>
      </c>
      <c r="BF22" s="612" t="s">
        <v>194</v>
      </c>
      <c r="BG22" s="81" t="s">
        <v>466</v>
      </c>
      <c r="BH22" s="270"/>
      <c r="BI22" s="82" t="str">
        <f>IF(OR(ISBLANK(F22),ISBLANK(H22)),"N/A",IF(ABS(H22-F22)&gt;25,"&gt; 25%","ok"))</f>
        <v>N/A</v>
      </c>
      <c r="BJ22" s="270"/>
      <c r="BK22" s="82" t="str">
        <f>IF(OR(ISBLANK(H22),ISBLANK(J22)),"N/A",IF(ABS(J22-H22)&gt;25,"&gt; 25%","ok"))</f>
        <v>N/A</v>
      </c>
      <c r="BL22" s="82"/>
      <c r="BM22" s="82" t="str">
        <f>IF(OR(ISBLANK(J22),ISBLANK(L22)),"N/A",IF(ABS(L22-J22)&gt;25,"&gt; 25%","ok"))</f>
        <v>N/A</v>
      </c>
      <c r="BN22" s="82"/>
      <c r="BO22" s="82" t="str">
        <f>IF(OR(ISBLANK(L22),ISBLANK(N22)),"N/A",IF(ABS(N22-L22)&gt;25,"&gt; 25%","ok"))</f>
        <v>N/A</v>
      </c>
      <c r="BP22" s="82"/>
      <c r="BQ22" s="82" t="str">
        <f>IF(OR(ISBLANK(N22),ISBLANK(P22)),"N/A",IF(ABS(P22-N22)&gt;25,"&gt; 25%","ok"))</f>
        <v>N/A</v>
      </c>
      <c r="BR22" s="82"/>
      <c r="BS22" s="82" t="str">
        <f>IF(OR(ISBLANK(P22),ISBLANK(R22)),"N/A",IF(ABS(R22-P22)&gt;25,"&gt; 25%","ok"))</f>
        <v>N/A</v>
      </c>
      <c r="BT22" s="82"/>
      <c r="BU22" s="82" t="str">
        <f>IF(OR(ISBLANK(R22),ISBLANK(T22)),"N/A",IF(ABS(T22-R22)&gt;25,"&gt; 25%","ok"))</f>
        <v>N/A</v>
      </c>
      <c r="BV22" s="82"/>
      <c r="BW22" s="82" t="str">
        <f>IF(OR(ISBLANK(T22),ISBLANK(V22)),"N/A",IF(ABS(V22-T22)&gt;25,"&gt; 25%","ok"))</f>
        <v>N/A</v>
      </c>
      <c r="BX22" s="82"/>
      <c r="BY22" s="82" t="str">
        <f>IF(OR(ISBLANK(V22),ISBLANK(X22)),"N/A",IF(ABS(X22-V22)&gt;25,"&gt; 25%","ok"))</f>
        <v>N/A</v>
      </c>
      <c r="BZ22" s="82"/>
      <c r="CA22" s="82" t="str">
        <f>IF(OR(ISBLANK(X22),ISBLANK(Z22)),"N/A",IF(ABS(Z22-X22)&gt;25,"&gt; 25%","ok"))</f>
        <v>N/A</v>
      </c>
      <c r="CB22" s="82"/>
      <c r="CC22" s="82" t="str">
        <f>IF(OR(ISBLANK(Z22),ISBLANK(AB22)),"N/A",IF(ABS(AB22-Z22)&gt;25,"&gt; 25%","ok"))</f>
        <v>N/A</v>
      </c>
      <c r="CD22" s="82"/>
      <c r="CE22" s="82" t="str">
        <f>IF(OR(ISBLANK(AB22),ISBLANK(AD22)),"N/A",IF(ABS(AD22-AB22)&gt;25,"&gt; 25%","ok"))</f>
        <v>N/A</v>
      </c>
      <c r="CF22" s="82"/>
      <c r="CG22" s="82" t="str">
        <f>IF(OR(ISBLANK(AD22),ISBLANK(AF22)),"N/A",IF(ABS(AF22-AD22)&gt;25,"&gt; 25%","ok"))</f>
        <v>N/A</v>
      </c>
      <c r="CH22" s="82"/>
      <c r="CI22" s="82" t="str">
        <f>IF(OR(ISBLANK(AF22),ISBLANK(AH22)),"N/A",IF(ABS(AH22-AF22)&gt;25,"&gt; 25%","ok"))</f>
        <v>N/A</v>
      </c>
      <c r="CJ22" s="82"/>
      <c r="CK22" s="82" t="str">
        <f>IF(OR(ISBLANK(AH22),ISBLANK(AJ22)),"N/A",IF(ABS(AJ22-AH22)&gt;25,"&gt; 25%","ok"))</f>
        <v>N/A</v>
      </c>
      <c r="CL22" s="82"/>
      <c r="CM22" s="82" t="str">
        <f>IF(OR(ISBLANK(AJ22),ISBLANK(AL22)),"N/A",IF(ABS(AL22-AJ22)&gt;25,"&gt; 25%","ok"))</f>
        <v>N/A</v>
      </c>
      <c r="CN22" s="82"/>
      <c r="CO22" s="82" t="str">
        <f>IF(OR(ISBLANK(AL22),ISBLANK(AN22)),"N/A",IF(ABS(AN22-AL22)&gt;25,"&gt; 25%","ok"))</f>
        <v>N/A</v>
      </c>
      <c r="CP22" s="82"/>
      <c r="CQ22" s="82" t="str">
        <f>IF(OR(ISBLANK(AN22),ISBLANK(AP22)),"N/A",IF(ABS((AP22-AN22)/AN22)&gt;0.25,"&gt; 25%","ok"))</f>
        <v>N/A</v>
      </c>
      <c r="CR22" s="270"/>
      <c r="CS22" s="82" t="str">
        <f>IF(OR(ISBLANK(AP22),ISBLANK(AR22)),"N/A",IF(ABS(AR22-AP22)&gt;25,"&gt; 25%","ok"))</f>
        <v>N/A</v>
      </c>
      <c r="CT22" s="82"/>
      <c r="CU22" s="82" t="str">
        <f>IF(OR(ISBLANK(AR22),ISBLANK(AT22)),"N/A",IF(ABS(AT22-AR22)&gt;25,"&gt; 25%","ok"))</f>
        <v>N/A</v>
      </c>
      <c r="CV22" s="82"/>
      <c r="CW22" s="82" t="str">
        <f>IF(OR(ISBLANK(AT22),ISBLANK(AV22)),"N/A",IF(ABS(AV22-AT22)&gt;25,"&gt; 25%","ok"))</f>
        <v>N/A</v>
      </c>
      <c r="CX22" s="82"/>
      <c r="CY22" s="82" t="str">
        <f>IF(OR(ISBLANK(AV22),ISBLANK(AX22)),"N/A",IF(ABS(AX22-AV22)&gt;25,"&gt; 25%","ok"))</f>
        <v>N/A</v>
      </c>
      <c r="CZ22" s="82"/>
      <c r="DA22" s="82" t="str">
        <f t="shared" si="0"/>
        <v>N/A</v>
      </c>
    </row>
    <row r="23" spans="1:105" s="477" customFormat="1" ht="24.75" customHeight="1" x14ac:dyDescent="0.2">
      <c r="A23" s="415"/>
      <c r="B23" s="257">
        <v>262</v>
      </c>
      <c r="C23" s="287">
        <v>14</v>
      </c>
      <c r="D23" s="288" t="s">
        <v>497</v>
      </c>
      <c r="E23" s="286" t="s">
        <v>194</v>
      </c>
      <c r="F23" s="584"/>
      <c r="G23" s="599"/>
      <c r="H23" s="584"/>
      <c r="I23" s="599"/>
      <c r="J23" s="584"/>
      <c r="K23" s="599"/>
      <c r="L23" s="584"/>
      <c r="M23" s="599"/>
      <c r="N23" s="599"/>
      <c r="O23" s="599"/>
      <c r="P23" s="584"/>
      <c r="Q23" s="599"/>
      <c r="R23" s="584"/>
      <c r="S23" s="599"/>
      <c r="T23" s="584"/>
      <c r="U23" s="599"/>
      <c r="V23" s="584"/>
      <c r="W23" s="599"/>
      <c r="X23" s="584"/>
      <c r="Y23" s="599"/>
      <c r="Z23" s="584"/>
      <c r="AA23" s="599"/>
      <c r="AB23" s="584"/>
      <c r="AC23" s="599"/>
      <c r="AD23" s="584"/>
      <c r="AE23" s="599"/>
      <c r="AF23" s="584"/>
      <c r="AG23" s="599"/>
      <c r="AH23" s="584"/>
      <c r="AI23" s="599"/>
      <c r="AJ23" s="584"/>
      <c r="AK23" s="599"/>
      <c r="AL23" s="584"/>
      <c r="AM23" s="599"/>
      <c r="AN23" s="584"/>
      <c r="AO23" s="599"/>
      <c r="AP23" s="584"/>
      <c r="AQ23" s="599"/>
      <c r="AR23" s="584"/>
      <c r="AS23" s="599"/>
      <c r="AT23" s="584"/>
      <c r="AU23" s="599"/>
      <c r="AV23" s="584"/>
      <c r="AW23" s="599"/>
      <c r="AX23" s="584"/>
      <c r="AY23" s="599"/>
      <c r="AZ23" s="584"/>
      <c r="BA23" s="599"/>
      <c r="BC23" s="413"/>
      <c r="BD23" s="662">
        <v>14</v>
      </c>
      <c r="BE23" s="663" t="s">
        <v>375</v>
      </c>
      <c r="BF23" s="662" t="s">
        <v>194</v>
      </c>
      <c r="BG23" s="96" t="s">
        <v>466</v>
      </c>
      <c r="BH23" s="291"/>
      <c r="BI23" s="80" t="str">
        <f>IF(OR(ISBLANK(F23),ISBLANK(H23)),"N/A",IF(ABS(H23-F23)&gt;25,"&gt; 25%","ok"))</f>
        <v>N/A</v>
      </c>
      <c r="BJ23" s="291"/>
      <c r="BK23" s="80" t="str">
        <f>IF(OR(ISBLANK(H23),ISBLANK(J23)),"N/A",IF(ABS(J23-H23)&gt;25,"&gt; 25%","ok"))</f>
        <v>N/A</v>
      </c>
      <c r="BL23" s="80"/>
      <c r="BM23" s="80" t="str">
        <f>IF(OR(ISBLANK(J23),ISBLANK(L23)),"N/A",IF(ABS(L23-J23)&gt;25,"&gt; 25%","ok"))</f>
        <v>N/A</v>
      </c>
      <c r="BN23" s="80"/>
      <c r="BO23" s="80" t="str">
        <f>IF(OR(ISBLANK(L23),ISBLANK(N23)),"N/A",IF(ABS(N23-L23)&gt;25,"&gt; 25%","ok"))</f>
        <v>N/A</v>
      </c>
      <c r="BP23" s="80"/>
      <c r="BQ23" s="80" t="str">
        <f>IF(OR(ISBLANK(N23),ISBLANK(P23)),"N/A",IF(ABS(P23-N23)&gt;25,"&gt; 25%","ok"))</f>
        <v>N/A</v>
      </c>
      <c r="BR23" s="80"/>
      <c r="BS23" s="80" t="str">
        <f>IF(OR(ISBLANK(P23),ISBLANK(R23)),"N/A",IF(ABS(R23-P23)&gt;25,"&gt; 25%","ok"))</f>
        <v>N/A</v>
      </c>
      <c r="BT23" s="80"/>
      <c r="BU23" s="80" t="str">
        <f>IF(OR(ISBLANK(R23),ISBLANK(T23)),"N/A",IF(ABS(T23-R23)&gt;25,"&gt; 25%","ok"))</f>
        <v>N/A</v>
      </c>
      <c r="BV23" s="80"/>
      <c r="BW23" s="80" t="str">
        <f>IF(OR(ISBLANK(T23),ISBLANK(V23)),"N/A",IF(ABS(V23-T23)&gt;25,"&gt; 25%","ok"))</f>
        <v>N/A</v>
      </c>
      <c r="BX23" s="80"/>
      <c r="BY23" s="80" t="str">
        <f>IF(OR(ISBLANK(V23),ISBLANK(X23)),"N/A",IF(ABS(X23-V23)&gt;25,"&gt; 25%","ok"))</f>
        <v>N/A</v>
      </c>
      <c r="BZ23" s="80"/>
      <c r="CA23" s="80" t="str">
        <f>IF(OR(ISBLANK(X23),ISBLANK(Z23)),"N/A",IF(ABS(Z23-X23)&gt;25,"&gt; 25%","ok"))</f>
        <v>N/A</v>
      </c>
      <c r="CB23" s="80"/>
      <c r="CC23" s="80" t="str">
        <f>IF(OR(ISBLANK(Z23),ISBLANK(AB23)),"N/A",IF(ABS(AB23-Z23)&gt;25,"&gt; 25%","ok"))</f>
        <v>N/A</v>
      </c>
      <c r="CD23" s="80"/>
      <c r="CE23" s="80" t="str">
        <f>IF(OR(ISBLANK(AB23),ISBLANK(AD23)),"N/A",IF(ABS(AD23-AB23)&gt;25,"&gt; 25%","ok"))</f>
        <v>N/A</v>
      </c>
      <c r="CF23" s="80"/>
      <c r="CG23" s="80" t="str">
        <f>IF(OR(ISBLANK(AD23),ISBLANK(AF23)),"N/A",IF(ABS(AF23-AD23)&gt;25,"&gt; 25%","ok"))</f>
        <v>N/A</v>
      </c>
      <c r="CH23" s="80"/>
      <c r="CI23" s="80" t="str">
        <f>IF(OR(ISBLANK(AF23),ISBLANK(AH23)),"N/A",IF(ABS(AH23-AF23)&gt;25,"&gt; 25%","ok"))</f>
        <v>N/A</v>
      </c>
      <c r="CJ23" s="80"/>
      <c r="CK23" s="80" t="str">
        <f>IF(OR(ISBLANK(AH23),ISBLANK(AJ23)),"N/A",IF(ABS(AJ23-AH23)&gt;25,"&gt; 25%","ok"))</f>
        <v>N/A</v>
      </c>
      <c r="CL23" s="80"/>
      <c r="CM23" s="80" t="str">
        <f>IF(OR(ISBLANK(AJ23),ISBLANK(AL23)),"N/A",IF(ABS(AL23-AJ23)&gt;25,"&gt; 25%","ok"))</f>
        <v>N/A</v>
      </c>
      <c r="CN23" s="80"/>
      <c r="CO23" s="80" t="str">
        <f>IF(OR(ISBLANK(AL23),ISBLANK(AN23)),"N/A",IF(ABS(AN23-AL23)&gt;25,"&gt; 25%","ok"))</f>
        <v>N/A</v>
      </c>
      <c r="CP23" s="80"/>
      <c r="CQ23" s="80" t="str">
        <f>IF(OR(ISBLANK(AN23),ISBLANK(AP23)),"N/A",IF(ABS((AP23-AN23)/AN23)&gt;0.25,"&gt; 25%","ok"))</f>
        <v>N/A</v>
      </c>
      <c r="CR23" s="291"/>
      <c r="CS23" s="80" t="str">
        <f>IF(OR(ISBLANK(AP23),ISBLANK(AR23)),"N/A",IF(ABS(AR23-AP23)&gt;25,"&gt; 25%","ok"))</f>
        <v>N/A</v>
      </c>
      <c r="CT23" s="80"/>
      <c r="CU23" s="80" t="str">
        <f>IF(OR(ISBLANK(AR23),ISBLANK(AT23)),"N/A",IF(ABS(AT23-AR23)&gt;25,"&gt; 25%","ok"))</f>
        <v>N/A</v>
      </c>
      <c r="CV23" s="80"/>
      <c r="CW23" s="80" t="str">
        <f>IF(OR(ISBLANK(AT23),ISBLANK(AV23)),"N/A",IF(ABS(AV23-AT23)&gt;25,"&gt; 25%","ok"))</f>
        <v>N/A</v>
      </c>
      <c r="CX23" s="80"/>
      <c r="CY23" s="80" t="str">
        <f>IF(OR(ISBLANK(AV23),ISBLANK(AX23)),"N/A",IF(ABS(AX23-AV23)&gt;25,"&gt; 25%","ok"))</f>
        <v>N/A</v>
      </c>
      <c r="CZ23" s="80"/>
      <c r="DA23" s="80" t="str">
        <f t="shared" si="0"/>
        <v>N/A</v>
      </c>
    </row>
    <row r="24" spans="1:105" ht="7.15" customHeight="1" x14ac:dyDescent="0.2">
      <c r="D24" s="293"/>
      <c r="BD24" s="664" t="s">
        <v>438</v>
      </c>
      <c r="BE24" s="626"/>
      <c r="BF24" s="626"/>
    </row>
    <row r="25" spans="1:105" ht="15" customHeight="1" x14ac:dyDescent="0.25">
      <c r="C25" s="380" t="s">
        <v>490</v>
      </c>
      <c r="D25" s="479"/>
      <c r="E25" s="480"/>
      <c r="F25" s="380"/>
      <c r="G25" s="380"/>
      <c r="BD25" s="665" t="s">
        <v>201</v>
      </c>
      <c r="BE25" s="665" t="s">
        <v>202</v>
      </c>
      <c r="BF25" s="665" t="s">
        <v>203</v>
      </c>
      <c r="BG25" s="600">
        <v>1990</v>
      </c>
      <c r="BH25" s="601"/>
      <c r="BI25" s="600">
        <v>1995</v>
      </c>
      <c r="BJ25" s="601"/>
      <c r="BK25" s="600">
        <v>1996</v>
      </c>
      <c r="BL25" s="601"/>
      <c r="BM25" s="600">
        <v>1997</v>
      </c>
      <c r="BN25" s="601"/>
      <c r="BO25" s="600">
        <v>1998</v>
      </c>
      <c r="BP25" s="601"/>
      <c r="BQ25" s="600">
        <v>1999</v>
      </c>
      <c r="BR25" s="601"/>
      <c r="BS25" s="600">
        <v>2000</v>
      </c>
      <c r="BT25" s="601"/>
      <c r="BU25" s="600">
        <v>2001</v>
      </c>
      <c r="BV25" s="601"/>
      <c r="BW25" s="600">
        <v>2002</v>
      </c>
      <c r="BX25" s="601"/>
      <c r="BY25" s="600">
        <v>2003</v>
      </c>
      <c r="BZ25" s="601"/>
      <c r="CA25" s="600">
        <v>2004</v>
      </c>
      <c r="CB25" s="601"/>
      <c r="CC25" s="600">
        <v>2005</v>
      </c>
      <c r="CD25" s="601"/>
      <c r="CE25" s="600">
        <v>2006</v>
      </c>
      <c r="CF25" s="601"/>
      <c r="CG25" s="600">
        <v>2007</v>
      </c>
      <c r="CH25" s="601"/>
      <c r="CI25" s="600">
        <v>2008</v>
      </c>
      <c r="CJ25" s="601"/>
      <c r="CK25" s="600">
        <v>2009</v>
      </c>
      <c r="CL25" s="601"/>
      <c r="CM25" s="600">
        <v>2010</v>
      </c>
      <c r="CN25" s="601"/>
      <c r="CO25" s="600">
        <v>2011</v>
      </c>
      <c r="CP25" s="604"/>
      <c r="CQ25" s="600">
        <v>2012</v>
      </c>
      <c r="CR25" s="601"/>
      <c r="CS25" s="600">
        <v>2013</v>
      </c>
      <c r="CT25" s="601"/>
      <c r="CU25" s="600">
        <v>2014</v>
      </c>
      <c r="CV25" s="604"/>
      <c r="CW25" s="600">
        <v>2013</v>
      </c>
      <c r="CX25" s="601"/>
      <c r="CY25" s="600">
        <v>2014</v>
      </c>
      <c r="CZ25" s="604"/>
      <c r="DA25" s="600">
        <v>2015</v>
      </c>
    </row>
    <row r="26" spans="1:105" ht="12.6" customHeight="1" x14ac:dyDescent="0.2">
      <c r="C26" s="300" t="s">
        <v>484</v>
      </c>
      <c r="D26" s="771" t="s">
        <v>532</v>
      </c>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481"/>
      <c r="BD26" s="612">
        <v>3</v>
      </c>
      <c r="BE26" s="653" t="s">
        <v>602</v>
      </c>
      <c r="BF26" s="612" t="s">
        <v>205</v>
      </c>
      <c r="BG26" s="81">
        <f>F10</f>
        <v>0</v>
      </c>
      <c r="BH26" s="81"/>
      <c r="BI26" s="81">
        <f t="shared" ref="BI26:DA26" si="23">H10</f>
        <v>0</v>
      </c>
      <c r="BJ26" s="81"/>
      <c r="BK26" s="81">
        <f t="shared" si="23"/>
        <v>0</v>
      </c>
      <c r="BL26" s="81"/>
      <c r="BM26" s="81">
        <f t="shared" si="23"/>
        <v>0</v>
      </c>
      <c r="BN26" s="81"/>
      <c r="BO26" s="81">
        <f t="shared" si="23"/>
        <v>0</v>
      </c>
      <c r="BP26" s="81"/>
      <c r="BQ26" s="81">
        <f t="shared" si="23"/>
        <v>0</v>
      </c>
      <c r="BR26" s="81"/>
      <c r="BS26" s="81">
        <f t="shared" si="23"/>
        <v>0</v>
      </c>
      <c r="BT26" s="81"/>
      <c r="BU26" s="81">
        <f t="shared" si="23"/>
        <v>0</v>
      </c>
      <c r="BV26" s="81"/>
      <c r="BW26" s="81">
        <f t="shared" si="23"/>
        <v>0</v>
      </c>
      <c r="BX26" s="81"/>
      <c r="BY26" s="81">
        <f t="shared" si="23"/>
        <v>0</v>
      </c>
      <c r="BZ26" s="81"/>
      <c r="CA26" s="81">
        <f t="shared" si="23"/>
        <v>0</v>
      </c>
      <c r="CB26" s="81"/>
      <c r="CC26" s="81">
        <f t="shared" si="23"/>
        <v>0</v>
      </c>
      <c r="CD26" s="81"/>
      <c r="CE26" s="81">
        <f t="shared" si="23"/>
        <v>0</v>
      </c>
      <c r="CF26" s="81"/>
      <c r="CG26" s="81">
        <f t="shared" si="23"/>
        <v>0</v>
      </c>
      <c r="CH26" s="81"/>
      <c r="CI26" s="81">
        <f t="shared" si="23"/>
        <v>0</v>
      </c>
      <c r="CJ26" s="81"/>
      <c r="CK26" s="81">
        <f t="shared" si="23"/>
        <v>0</v>
      </c>
      <c r="CL26" s="81"/>
      <c r="CM26" s="81">
        <f t="shared" si="23"/>
        <v>0</v>
      </c>
      <c r="CN26" s="81"/>
      <c r="CO26" s="81">
        <f t="shared" si="23"/>
        <v>0</v>
      </c>
      <c r="CP26" s="81"/>
      <c r="CQ26" s="81">
        <f t="shared" si="23"/>
        <v>0</v>
      </c>
      <c r="CR26" s="81"/>
      <c r="CS26" s="81">
        <f t="shared" si="23"/>
        <v>0</v>
      </c>
      <c r="CT26" s="81"/>
      <c r="CU26" s="81">
        <f t="shared" si="23"/>
        <v>3138.5117944402564</v>
      </c>
      <c r="CV26" s="81"/>
      <c r="CW26" s="81">
        <f t="shared" si="23"/>
        <v>3200.4673594788655</v>
      </c>
      <c r="CX26" s="81"/>
      <c r="CY26" s="81">
        <f t="shared" si="23"/>
        <v>3128.5851102366869</v>
      </c>
      <c r="CZ26" s="81"/>
      <c r="DA26" s="81">
        <f t="shared" si="23"/>
        <v>0</v>
      </c>
    </row>
    <row r="27" spans="1:105" s="461" customFormat="1" ht="10.9" customHeight="1" x14ac:dyDescent="0.2">
      <c r="A27" s="302"/>
      <c r="B27" s="302"/>
      <c r="C27" s="300" t="s">
        <v>484</v>
      </c>
      <c r="D27" s="775" t="s">
        <v>524</v>
      </c>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5"/>
      <c r="AY27" s="775"/>
      <c r="AZ27" s="775"/>
      <c r="BA27" s="775"/>
      <c r="BB27" s="775"/>
      <c r="BC27" s="481"/>
      <c r="BD27" s="320">
        <v>15</v>
      </c>
      <c r="BE27" s="482" t="s">
        <v>433</v>
      </c>
      <c r="BF27" s="81" t="s">
        <v>205</v>
      </c>
      <c r="BG27" s="81">
        <f>F8-F9</f>
        <v>0</v>
      </c>
      <c r="BH27" s="81"/>
      <c r="BI27" s="81">
        <f t="shared" ref="BI27:DA27" si="24">H8-H9</f>
        <v>0</v>
      </c>
      <c r="BJ27" s="81"/>
      <c r="BK27" s="81">
        <f t="shared" si="24"/>
        <v>0</v>
      </c>
      <c r="BL27" s="81"/>
      <c r="BM27" s="81">
        <f t="shared" si="24"/>
        <v>0</v>
      </c>
      <c r="BN27" s="81"/>
      <c r="BO27" s="81">
        <f t="shared" si="24"/>
        <v>0</v>
      </c>
      <c r="BP27" s="81"/>
      <c r="BQ27" s="81">
        <f t="shared" si="24"/>
        <v>0</v>
      </c>
      <c r="BR27" s="81"/>
      <c r="BS27" s="81">
        <f t="shared" si="24"/>
        <v>0</v>
      </c>
      <c r="BT27" s="81"/>
      <c r="BU27" s="81">
        <f t="shared" si="24"/>
        <v>0</v>
      </c>
      <c r="BV27" s="81"/>
      <c r="BW27" s="81">
        <f t="shared" si="24"/>
        <v>0</v>
      </c>
      <c r="BX27" s="81"/>
      <c r="BY27" s="81">
        <f t="shared" si="24"/>
        <v>0</v>
      </c>
      <c r="BZ27" s="81"/>
      <c r="CA27" s="81">
        <f t="shared" si="24"/>
        <v>0</v>
      </c>
      <c r="CB27" s="81"/>
      <c r="CC27" s="81">
        <f t="shared" si="24"/>
        <v>0</v>
      </c>
      <c r="CD27" s="81"/>
      <c r="CE27" s="81">
        <f t="shared" si="24"/>
        <v>0</v>
      </c>
      <c r="CF27" s="81"/>
      <c r="CG27" s="81">
        <f t="shared" si="24"/>
        <v>0</v>
      </c>
      <c r="CH27" s="81"/>
      <c r="CI27" s="81">
        <f t="shared" si="24"/>
        <v>0</v>
      </c>
      <c r="CJ27" s="81"/>
      <c r="CK27" s="81">
        <f t="shared" si="24"/>
        <v>0</v>
      </c>
      <c r="CL27" s="81"/>
      <c r="CM27" s="81">
        <f t="shared" si="24"/>
        <v>0</v>
      </c>
      <c r="CN27" s="81"/>
      <c r="CO27" s="81">
        <f t="shared" si="24"/>
        <v>0</v>
      </c>
      <c r="CP27" s="81"/>
      <c r="CQ27" s="81">
        <f t="shared" si="24"/>
        <v>0</v>
      </c>
      <c r="CR27" s="81"/>
      <c r="CS27" s="81">
        <f t="shared" si="24"/>
        <v>0</v>
      </c>
      <c r="CT27" s="81"/>
      <c r="CU27" s="81">
        <f t="shared" si="24"/>
        <v>3138.5117944402564</v>
      </c>
      <c r="CV27" s="81"/>
      <c r="CW27" s="81">
        <f t="shared" si="24"/>
        <v>3200.4673594788655</v>
      </c>
      <c r="CX27" s="81"/>
      <c r="CY27" s="81">
        <f t="shared" si="24"/>
        <v>3128.5851102366869</v>
      </c>
      <c r="CZ27" s="81"/>
      <c r="DA27" s="81">
        <f t="shared" si="24"/>
        <v>0</v>
      </c>
    </row>
    <row r="28" spans="1:105" s="461" customFormat="1" ht="14.25" customHeight="1" x14ac:dyDescent="0.2">
      <c r="A28" s="302"/>
      <c r="B28" s="302"/>
      <c r="C28" s="300" t="s">
        <v>484</v>
      </c>
      <c r="D28" s="771" t="s">
        <v>64</v>
      </c>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1"/>
      <c r="AQ28" s="771"/>
      <c r="AR28" s="771"/>
      <c r="AS28" s="771"/>
      <c r="AT28" s="771"/>
      <c r="AU28" s="771"/>
      <c r="AV28" s="301"/>
      <c r="AW28" s="301"/>
      <c r="AX28" s="301"/>
      <c r="AY28" s="301"/>
      <c r="AZ28" s="301"/>
      <c r="BA28" s="301"/>
      <c r="BB28" s="301"/>
      <c r="BC28" s="481"/>
      <c r="BD28" s="308" t="s">
        <v>139</v>
      </c>
      <c r="BE28" s="304" t="s">
        <v>605</v>
      </c>
      <c r="BF28" s="81"/>
      <c r="BG28" s="81" t="str">
        <f>IF(OR(ISBLANK(F8),ISBLANK(F9),ISBLANK(F10)),"N/A",IF((BG26=BG27),"ok","&lt;&gt;"))</f>
        <v>N/A</v>
      </c>
      <c r="BH28" s="81"/>
      <c r="BI28" s="81" t="str">
        <f t="shared" ref="BI28:DA28" si="25">IF(OR(ISBLANK(H8),ISBLANK(H9),ISBLANK(H10)),"N/A",IF((BI26=BI27),"ok","&lt;&gt;"))</f>
        <v>N/A</v>
      </c>
      <c r="BJ28" s="81"/>
      <c r="BK28" s="81" t="str">
        <f t="shared" si="25"/>
        <v>N/A</v>
      </c>
      <c r="BL28" s="81"/>
      <c r="BM28" s="81" t="str">
        <f t="shared" si="25"/>
        <v>N/A</v>
      </c>
      <c r="BN28" s="81"/>
      <c r="BO28" s="81" t="str">
        <f t="shared" si="25"/>
        <v>N/A</v>
      </c>
      <c r="BP28" s="81"/>
      <c r="BQ28" s="81" t="str">
        <f t="shared" si="25"/>
        <v>N/A</v>
      </c>
      <c r="BR28" s="81"/>
      <c r="BS28" s="81" t="str">
        <f t="shared" si="25"/>
        <v>N/A</v>
      </c>
      <c r="BT28" s="81"/>
      <c r="BU28" s="81" t="str">
        <f t="shared" si="25"/>
        <v>N/A</v>
      </c>
      <c r="BV28" s="81"/>
      <c r="BW28" s="81" t="str">
        <f t="shared" si="25"/>
        <v>N/A</v>
      </c>
      <c r="BX28" s="81"/>
      <c r="BY28" s="81" t="str">
        <f t="shared" si="25"/>
        <v>N/A</v>
      </c>
      <c r="BZ28" s="81"/>
      <c r="CA28" s="81" t="str">
        <f t="shared" si="25"/>
        <v>N/A</v>
      </c>
      <c r="CB28" s="81"/>
      <c r="CC28" s="81" t="str">
        <f t="shared" si="25"/>
        <v>N/A</v>
      </c>
      <c r="CD28" s="81"/>
      <c r="CE28" s="81" t="str">
        <f t="shared" si="25"/>
        <v>N/A</v>
      </c>
      <c r="CF28" s="81"/>
      <c r="CG28" s="81" t="str">
        <f t="shared" si="25"/>
        <v>N/A</v>
      </c>
      <c r="CH28" s="81"/>
      <c r="CI28" s="81" t="str">
        <f t="shared" si="25"/>
        <v>N/A</v>
      </c>
      <c r="CJ28" s="81"/>
      <c r="CK28" s="81" t="str">
        <f t="shared" si="25"/>
        <v>N/A</v>
      </c>
      <c r="CL28" s="81"/>
      <c r="CM28" s="81" t="str">
        <f t="shared" si="25"/>
        <v>N/A</v>
      </c>
      <c r="CN28" s="81"/>
      <c r="CO28" s="81" t="str">
        <f t="shared" si="25"/>
        <v>N/A</v>
      </c>
      <c r="CP28" s="81"/>
      <c r="CQ28" s="81" t="str">
        <f t="shared" si="25"/>
        <v>N/A</v>
      </c>
      <c r="CR28" s="81"/>
      <c r="CS28" s="81" t="str">
        <f t="shared" si="25"/>
        <v>N/A</v>
      </c>
      <c r="CT28" s="81"/>
      <c r="CU28" s="81" t="str">
        <f t="shared" si="25"/>
        <v>N/A</v>
      </c>
      <c r="CV28" s="81"/>
      <c r="CW28" s="81" t="str">
        <f t="shared" si="25"/>
        <v>N/A</v>
      </c>
      <c r="CX28" s="81"/>
      <c r="CY28" s="81" t="str">
        <f t="shared" si="25"/>
        <v>N/A</v>
      </c>
      <c r="CZ28" s="81"/>
      <c r="DA28" s="81" t="str">
        <f t="shared" si="25"/>
        <v>N/A</v>
      </c>
    </row>
    <row r="29" spans="1:105" s="461" customFormat="1" ht="21.6" customHeight="1" x14ac:dyDescent="0.2">
      <c r="A29" s="302"/>
      <c r="B29" s="302"/>
      <c r="C29" s="300" t="s">
        <v>484</v>
      </c>
      <c r="D29" s="771" t="s">
        <v>121</v>
      </c>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481"/>
      <c r="BD29" s="320">
        <v>16</v>
      </c>
      <c r="BE29" s="304" t="s">
        <v>606</v>
      </c>
      <c r="BF29" s="81" t="s">
        <v>205</v>
      </c>
      <c r="BG29" s="81">
        <f>SUM(F12:F16)+SUM(F18:F19)</f>
        <v>0</v>
      </c>
      <c r="BH29" s="81"/>
      <c r="BI29" s="81">
        <f t="shared" ref="BI29:DA29" si="26">SUM(H12:H16)+SUM(H18:H19)</f>
        <v>0</v>
      </c>
      <c r="BJ29" s="81"/>
      <c r="BK29" s="81">
        <f t="shared" si="26"/>
        <v>0</v>
      </c>
      <c r="BL29" s="81"/>
      <c r="BM29" s="81">
        <f t="shared" si="26"/>
        <v>0</v>
      </c>
      <c r="BN29" s="81"/>
      <c r="BO29" s="81">
        <f t="shared" si="26"/>
        <v>0</v>
      </c>
      <c r="BP29" s="81"/>
      <c r="BQ29" s="81">
        <f t="shared" si="26"/>
        <v>0</v>
      </c>
      <c r="BR29" s="81"/>
      <c r="BS29" s="81">
        <f t="shared" si="26"/>
        <v>0</v>
      </c>
      <c r="BT29" s="81"/>
      <c r="BU29" s="81">
        <f t="shared" si="26"/>
        <v>0</v>
      </c>
      <c r="BV29" s="81"/>
      <c r="BW29" s="81">
        <f t="shared" si="26"/>
        <v>0</v>
      </c>
      <c r="BX29" s="81"/>
      <c r="BY29" s="81">
        <f t="shared" si="26"/>
        <v>0</v>
      </c>
      <c r="BZ29" s="81"/>
      <c r="CA29" s="81">
        <f t="shared" si="26"/>
        <v>0</v>
      </c>
      <c r="CB29" s="81"/>
      <c r="CC29" s="81">
        <f t="shared" si="26"/>
        <v>0</v>
      </c>
      <c r="CD29" s="81"/>
      <c r="CE29" s="81">
        <f t="shared" si="26"/>
        <v>0</v>
      </c>
      <c r="CF29" s="81"/>
      <c r="CG29" s="81">
        <f t="shared" si="26"/>
        <v>0</v>
      </c>
      <c r="CH29" s="81"/>
      <c r="CI29" s="81">
        <f t="shared" si="26"/>
        <v>0</v>
      </c>
      <c r="CJ29" s="81"/>
      <c r="CK29" s="81">
        <f t="shared" si="26"/>
        <v>0</v>
      </c>
      <c r="CL29" s="81"/>
      <c r="CM29" s="81">
        <f t="shared" si="26"/>
        <v>0</v>
      </c>
      <c r="CN29" s="81"/>
      <c r="CO29" s="81">
        <f t="shared" si="26"/>
        <v>0</v>
      </c>
      <c r="CP29" s="81"/>
      <c r="CQ29" s="81">
        <f t="shared" si="26"/>
        <v>0</v>
      </c>
      <c r="CR29" s="81"/>
      <c r="CS29" s="81">
        <f t="shared" si="26"/>
        <v>0</v>
      </c>
      <c r="CT29" s="81"/>
      <c r="CU29" s="81">
        <f t="shared" si="26"/>
        <v>2459.5128143585944</v>
      </c>
      <c r="CV29" s="81"/>
      <c r="CW29" s="81">
        <f t="shared" si="26"/>
        <v>2507.8046577132718</v>
      </c>
      <c r="CX29" s="81"/>
      <c r="CY29" s="81">
        <f t="shared" si="26"/>
        <v>2365.2009319873819</v>
      </c>
      <c r="CZ29" s="81"/>
      <c r="DA29" s="81">
        <f t="shared" si="26"/>
        <v>0</v>
      </c>
    </row>
    <row r="30" spans="1:105" s="461" customFormat="1" ht="9.6" customHeight="1" x14ac:dyDescent="0.2">
      <c r="A30" s="302"/>
      <c r="B30" s="302"/>
      <c r="C30" s="300"/>
      <c r="D30" s="78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481"/>
      <c r="BD30" s="308" t="s">
        <v>139</v>
      </c>
      <c r="BE30" s="304" t="s">
        <v>607</v>
      </c>
      <c r="BF30" s="81"/>
      <c r="BG30" s="81" t="str">
        <f>IF(OR(ISBLANK(F12),ISBLANK(F13),ISBLANK(F14),ISBLANK(F15),ISBLANK(F16),ISBLANK(F18),ISBLANK(F19),ISBLANK(F10)),"N/A",IF((BG26=BG29),"ok","&lt;&gt;"))</f>
        <v>N/A</v>
      </c>
      <c r="BH30" s="81"/>
      <c r="BI30" s="81" t="str">
        <f t="shared" ref="BI30:DA30" si="27">IF(OR(ISBLANK(H12),ISBLANK(H13),ISBLANK(H14),ISBLANK(H15),ISBLANK(H16),ISBLANK(H18),ISBLANK(H19),ISBLANK(H10)),"N/A",IF((BI26=BI29),"ok","&lt;&gt;"))</f>
        <v>N/A</v>
      </c>
      <c r="BJ30" s="81"/>
      <c r="BK30" s="81" t="str">
        <f t="shared" si="27"/>
        <v>N/A</v>
      </c>
      <c r="BL30" s="81"/>
      <c r="BM30" s="81" t="str">
        <f t="shared" si="27"/>
        <v>N/A</v>
      </c>
      <c r="BN30" s="81"/>
      <c r="BO30" s="81" t="str">
        <f t="shared" si="27"/>
        <v>N/A</v>
      </c>
      <c r="BP30" s="81"/>
      <c r="BQ30" s="81" t="str">
        <f t="shared" si="27"/>
        <v>N/A</v>
      </c>
      <c r="BR30" s="81"/>
      <c r="BS30" s="81" t="str">
        <f t="shared" si="27"/>
        <v>N/A</v>
      </c>
      <c r="BT30" s="81"/>
      <c r="BU30" s="81" t="str">
        <f t="shared" si="27"/>
        <v>N/A</v>
      </c>
      <c r="BV30" s="81"/>
      <c r="BW30" s="81" t="str">
        <f t="shared" si="27"/>
        <v>N/A</v>
      </c>
      <c r="BX30" s="81"/>
      <c r="BY30" s="81" t="str">
        <f t="shared" si="27"/>
        <v>N/A</v>
      </c>
      <c r="BZ30" s="81"/>
      <c r="CA30" s="81" t="str">
        <f t="shared" si="27"/>
        <v>N/A</v>
      </c>
      <c r="CB30" s="81"/>
      <c r="CC30" s="81" t="str">
        <f t="shared" si="27"/>
        <v>N/A</v>
      </c>
      <c r="CD30" s="81"/>
      <c r="CE30" s="81" t="str">
        <f t="shared" si="27"/>
        <v>N/A</v>
      </c>
      <c r="CF30" s="81"/>
      <c r="CG30" s="81" t="str">
        <f t="shared" si="27"/>
        <v>N/A</v>
      </c>
      <c r="CH30" s="81"/>
      <c r="CI30" s="81" t="str">
        <f t="shared" si="27"/>
        <v>N/A</v>
      </c>
      <c r="CJ30" s="81"/>
      <c r="CK30" s="81" t="str">
        <f t="shared" si="27"/>
        <v>N/A</v>
      </c>
      <c r="CL30" s="81"/>
      <c r="CM30" s="81" t="str">
        <f t="shared" si="27"/>
        <v>N/A</v>
      </c>
      <c r="CN30" s="81"/>
      <c r="CO30" s="81" t="str">
        <f t="shared" si="27"/>
        <v>N/A</v>
      </c>
      <c r="CP30" s="81"/>
      <c r="CQ30" s="81" t="str">
        <f t="shared" si="27"/>
        <v>N/A</v>
      </c>
      <c r="CR30" s="81"/>
      <c r="CS30" s="81" t="str">
        <f t="shared" si="27"/>
        <v>N/A</v>
      </c>
      <c r="CT30" s="81"/>
      <c r="CU30" s="81" t="str">
        <f t="shared" si="27"/>
        <v>N/A</v>
      </c>
      <c r="CV30" s="81"/>
      <c r="CW30" s="81" t="str">
        <f t="shared" si="27"/>
        <v>N/A</v>
      </c>
      <c r="CX30" s="81"/>
      <c r="CY30" s="81" t="str">
        <f t="shared" si="27"/>
        <v>N/A</v>
      </c>
      <c r="CZ30" s="81"/>
      <c r="DA30" s="81" t="str">
        <f t="shared" si="27"/>
        <v>N/A</v>
      </c>
    </row>
    <row r="31" spans="1:105" ht="21" customHeight="1" x14ac:dyDescent="0.2">
      <c r="A31" s="302"/>
      <c r="B31" s="302"/>
      <c r="C31" s="300"/>
      <c r="D31" s="311"/>
      <c r="E31" s="311"/>
      <c r="F31" s="311"/>
      <c r="G31" s="311"/>
      <c r="H31" s="311"/>
      <c r="I31" s="311"/>
      <c r="J31" s="311"/>
      <c r="K31" s="311"/>
      <c r="L31" s="311"/>
      <c r="M31" s="311"/>
      <c r="N31" s="311"/>
      <c r="O31" s="311"/>
      <c r="P31" s="849" t="s">
        <v>128</v>
      </c>
      <c r="Q31" s="850"/>
      <c r="R31" s="851"/>
      <c r="S31" s="311"/>
      <c r="T31" s="311"/>
      <c r="U31" s="843" t="str">
        <f>D12&amp;" (W3,4)"</f>
        <v>Hogares (W3,4)</v>
      </c>
      <c r="V31" s="844"/>
      <c r="W31" s="844"/>
      <c r="X31" s="844"/>
      <c r="Y31" s="844"/>
      <c r="Z31" s="844"/>
      <c r="AA31" s="844"/>
      <c r="AB31" s="845"/>
      <c r="AC31" s="311"/>
      <c r="AD31" s="311"/>
      <c r="AE31" s="311"/>
      <c r="AF31" s="311"/>
      <c r="AG31" s="311"/>
      <c r="AH31" s="311"/>
      <c r="AI31" s="311"/>
      <c r="AJ31" s="311"/>
      <c r="AK31" s="311"/>
      <c r="AL31" s="312"/>
      <c r="AM31" s="312"/>
      <c r="AN31" s="312"/>
      <c r="AO31" s="312"/>
      <c r="AP31" s="312"/>
      <c r="AQ31" s="312"/>
      <c r="AR31" s="312"/>
      <c r="AS31" s="312"/>
      <c r="AT31" s="312"/>
      <c r="AU31" s="312"/>
      <c r="AV31" s="312"/>
      <c r="AW31" s="312"/>
      <c r="AX31" s="312"/>
      <c r="AY31" s="312"/>
      <c r="AZ31" s="483"/>
      <c r="BA31" s="484"/>
      <c r="BB31" s="311"/>
      <c r="BC31" s="485"/>
      <c r="BD31" s="337" t="s">
        <v>139</v>
      </c>
      <c r="BE31" s="486" t="s">
        <v>608</v>
      </c>
      <c r="BF31" s="99"/>
      <c r="BG31" s="99" t="str">
        <f>IF(OR(ISBLANK(F21),ISBLANK(F22),ISBLANK(F23)),"N/A",IF(F21&lt;F23,"&lt;&gt;",IF(F21&gt;F22,"&lt;&gt;","ok")))</f>
        <v>N/A</v>
      </c>
      <c r="BH31" s="99"/>
      <c r="BI31" s="99" t="str">
        <f t="shared" ref="BI31:DA31" si="28">IF(OR(ISBLANK(H21),ISBLANK(H22),ISBLANK(H23)),"N/A",IF(H21&lt;H23,"&lt;&gt;",IF(H21&gt;H22,"&lt;&gt;","ok")))</f>
        <v>N/A</v>
      </c>
      <c r="BJ31" s="99"/>
      <c r="BK31" s="99" t="str">
        <f t="shared" si="28"/>
        <v>N/A</v>
      </c>
      <c r="BL31" s="99"/>
      <c r="BM31" s="99" t="str">
        <f t="shared" si="28"/>
        <v>N/A</v>
      </c>
      <c r="BN31" s="99"/>
      <c r="BO31" s="99" t="str">
        <f t="shared" si="28"/>
        <v>N/A</v>
      </c>
      <c r="BP31" s="99"/>
      <c r="BQ31" s="99" t="str">
        <f t="shared" si="28"/>
        <v>N/A</v>
      </c>
      <c r="BR31" s="99"/>
      <c r="BS31" s="99" t="str">
        <f t="shared" si="28"/>
        <v>N/A</v>
      </c>
      <c r="BT31" s="99"/>
      <c r="BU31" s="99" t="str">
        <f t="shared" si="28"/>
        <v>N/A</v>
      </c>
      <c r="BV31" s="99"/>
      <c r="BW31" s="99" t="str">
        <f t="shared" si="28"/>
        <v>N/A</v>
      </c>
      <c r="BX31" s="99"/>
      <c r="BY31" s="99" t="str">
        <f t="shared" si="28"/>
        <v>N/A</v>
      </c>
      <c r="BZ31" s="99"/>
      <c r="CA31" s="99" t="str">
        <f t="shared" si="28"/>
        <v>N/A</v>
      </c>
      <c r="CB31" s="99"/>
      <c r="CC31" s="99" t="str">
        <f t="shared" si="28"/>
        <v>N/A</v>
      </c>
      <c r="CD31" s="99"/>
      <c r="CE31" s="99" t="str">
        <f t="shared" si="28"/>
        <v>N/A</v>
      </c>
      <c r="CF31" s="99"/>
      <c r="CG31" s="99" t="str">
        <f t="shared" si="28"/>
        <v>N/A</v>
      </c>
      <c r="CH31" s="99"/>
      <c r="CI31" s="99" t="str">
        <f t="shared" si="28"/>
        <v>N/A</v>
      </c>
      <c r="CJ31" s="99"/>
      <c r="CK31" s="99" t="str">
        <f t="shared" si="28"/>
        <v>N/A</v>
      </c>
      <c r="CL31" s="99"/>
      <c r="CM31" s="99" t="str">
        <f t="shared" si="28"/>
        <v>N/A</v>
      </c>
      <c r="CN31" s="99"/>
      <c r="CO31" s="99" t="str">
        <f t="shared" si="28"/>
        <v>N/A</v>
      </c>
      <c r="CP31" s="99"/>
      <c r="CQ31" s="99" t="str">
        <f t="shared" si="28"/>
        <v>N/A</v>
      </c>
      <c r="CR31" s="99"/>
      <c r="CS31" s="99" t="str">
        <f t="shared" si="28"/>
        <v>N/A</v>
      </c>
      <c r="CT31" s="99"/>
      <c r="CU31" s="99" t="str">
        <f t="shared" si="28"/>
        <v>N/A</v>
      </c>
      <c r="CV31" s="99"/>
      <c r="CW31" s="99" t="str">
        <f t="shared" si="28"/>
        <v>N/A</v>
      </c>
      <c r="CX31" s="99"/>
      <c r="CY31" s="99" t="str">
        <f t="shared" si="28"/>
        <v>N/A</v>
      </c>
      <c r="CZ31" s="99"/>
      <c r="DA31" s="99" t="str">
        <f t="shared" si="28"/>
        <v>N/A</v>
      </c>
    </row>
    <row r="32" spans="1:105" ht="10.15" customHeight="1" x14ac:dyDescent="0.2">
      <c r="A32" s="302"/>
      <c r="B32" s="302"/>
      <c r="C32" s="300"/>
      <c r="D32" s="311"/>
      <c r="E32" s="311"/>
      <c r="F32" s="311"/>
      <c r="G32" s="311"/>
      <c r="H32" s="311"/>
      <c r="I32" s="311"/>
      <c r="J32" s="311"/>
      <c r="K32" s="846" t="str">
        <f>LEFT(D10,LEN(D10)-25)&amp;" (W3,3)"</f>
        <v>Cantidad neta de agua dulce provista por la industria del suministro de agua (CIIU 36)   (W3,3)</v>
      </c>
      <c r="L32" s="853"/>
      <c r="M32" s="853"/>
      <c r="N32" s="854"/>
      <c r="O32" s="311"/>
      <c r="P32" s="850"/>
      <c r="Q32" s="850"/>
      <c r="R32" s="851"/>
      <c r="S32" s="311"/>
      <c r="T32" s="311"/>
      <c r="U32" s="311"/>
      <c r="V32" s="311"/>
      <c r="W32" s="311"/>
      <c r="X32" s="311"/>
      <c r="Y32" s="311"/>
      <c r="Z32" s="311"/>
      <c r="AA32" s="311"/>
      <c r="AB32" s="311"/>
      <c r="AC32" s="311"/>
      <c r="AD32" s="311"/>
      <c r="AE32" s="311"/>
      <c r="AF32" s="311"/>
      <c r="AG32" s="311"/>
      <c r="AH32" s="311"/>
      <c r="AI32" s="311"/>
      <c r="AJ32" s="311"/>
      <c r="AK32" s="311"/>
      <c r="AL32" s="557"/>
      <c r="AM32" s="557"/>
      <c r="AN32" s="557"/>
      <c r="AO32" s="557"/>
      <c r="AP32" s="557"/>
      <c r="AQ32" s="557"/>
      <c r="AR32" s="557"/>
      <c r="AS32" s="557"/>
      <c r="AT32" s="557"/>
      <c r="AU32" s="557"/>
      <c r="AV32" s="557"/>
      <c r="AW32" s="557"/>
      <c r="AX32" s="557"/>
      <c r="AY32" s="557"/>
      <c r="AZ32" s="316"/>
      <c r="BA32" s="487"/>
      <c r="BB32" s="311"/>
      <c r="BC32" s="485"/>
      <c r="BD32" s="81"/>
      <c r="BE32" s="488"/>
      <c r="BF32" s="81"/>
      <c r="BG32" s="81"/>
      <c r="BH32" s="81"/>
      <c r="BI32" s="82"/>
      <c r="BJ32" s="82"/>
      <c r="BK32" s="82"/>
      <c r="BL32" s="82"/>
      <c r="BM32" s="82"/>
      <c r="BN32" s="82"/>
      <c r="BO32" s="82"/>
      <c r="BP32" s="82"/>
      <c r="BQ32" s="82"/>
      <c r="BR32" s="82"/>
      <c r="BS32" s="82"/>
      <c r="BT32" s="82"/>
      <c r="BU32" s="82"/>
      <c r="BV32" s="82"/>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row>
    <row r="33" spans="1:105" ht="33.75" customHeight="1" x14ac:dyDescent="0.2">
      <c r="A33" s="302"/>
      <c r="B33" s="302"/>
      <c r="C33" s="300"/>
      <c r="D33" s="861" t="str">
        <f>D8&amp;" (W3, 1)"</f>
        <v>Cantidad bruta de agua dulce provista por la industria del suministro de agua (CIIU 36) (W3, 1)</v>
      </c>
      <c r="E33" s="312"/>
      <c r="F33" s="634"/>
      <c r="G33" s="634"/>
      <c r="H33" s="634"/>
      <c r="I33" s="634"/>
      <c r="J33" s="634"/>
      <c r="K33" s="855"/>
      <c r="L33" s="856"/>
      <c r="M33" s="856"/>
      <c r="N33" s="857"/>
      <c r="O33" s="634"/>
      <c r="P33" s="850"/>
      <c r="Q33" s="850"/>
      <c r="R33" s="851"/>
      <c r="S33" s="634"/>
      <c r="T33" s="634"/>
      <c r="U33" s="843" t="str">
        <f>D13&amp;" (W3,5)"</f>
        <v>Agricultura, ganadería, silvicultura y pesca (CIIU 01-03) (W3,5)</v>
      </c>
      <c r="V33" s="844"/>
      <c r="W33" s="844"/>
      <c r="X33" s="844"/>
      <c r="Y33" s="844"/>
      <c r="Z33" s="844"/>
      <c r="AA33" s="844"/>
      <c r="AB33" s="845"/>
      <c r="AC33" s="312"/>
      <c r="AD33" s="312"/>
      <c r="AE33" s="623"/>
      <c r="AF33" s="623"/>
      <c r="AG33" s="635"/>
      <c r="AI33" s="489"/>
      <c r="AJ33" s="311"/>
      <c r="AK33" s="311"/>
      <c r="AL33" s="312"/>
      <c r="AM33" s="312"/>
      <c r="AN33" s="312"/>
      <c r="AO33" s="312"/>
      <c r="AP33" s="312"/>
      <c r="AQ33" s="312"/>
      <c r="AR33" s="312"/>
      <c r="AS33" s="312"/>
      <c r="AT33" s="312"/>
      <c r="AU33" s="312"/>
      <c r="AV33" s="312"/>
      <c r="AW33" s="312"/>
      <c r="AX33" s="312"/>
      <c r="AY33" s="312"/>
      <c r="AZ33" s="483"/>
      <c r="BA33" s="484"/>
      <c r="BB33" s="311"/>
      <c r="BC33" s="485"/>
      <c r="BD33" s="339" t="s">
        <v>447</v>
      </c>
      <c r="BE33" s="340" t="s">
        <v>448</v>
      </c>
    </row>
    <row r="34" spans="1:105" ht="13.15" customHeight="1" x14ac:dyDescent="0.2">
      <c r="A34" s="302"/>
      <c r="B34" s="302"/>
      <c r="C34" s="300"/>
      <c r="D34" s="862"/>
      <c r="E34" s="634"/>
      <c r="F34" s="634"/>
      <c r="G34" s="634"/>
      <c r="H34" s="634"/>
      <c r="I34" s="634"/>
      <c r="J34" s="634"/>
      <c r="K34" s="855"/>
      <c r="L34" s="856"/>
      <c r="M34" s="856"/>
      <c r="N34" s="857"/>
      <c r="O34" s="634"/>
      <c r="P34" s="634"/>
      <c r="Q34" s="634"/>
      <c r="R34" s="634"/>
      <c r="S34" s="634"/>
      <c r="T34" s="634"/>
      <c r="U34" s="634"/>
      <c r="V34" s="634"/>
      <c r="W34" s="634"/>
      <c r="X34" s="634"/>
      <c r="Y34" s="634"/>
      <c r="Z34" s="634"/>
      <c r="AA34" s="314"/>
      <c r="AB34" s="313"/>
      <c r="AC34" s="312"/>
      <c r="AD34" s="623"/>
      <c r="AE34" s="623"/>
      <c r="AF34" s="623"/>
      <c r="AG34" s="635"/>
      <c r="AH34" s="489"/>
      <c r="AI34" s="489"/>
      <c r="AJ34" s="311"/>
      <c r="AK34" s="311"/>
      <c r="AL34" s="557"/>
      <c r="AM34" s="557"/>
      <c r="AN34" s="557"/>
      <c r="AO34" s="557"/>
      <c r="AP34" s="557"/>
      <c r="AQ34" s="557"/>
      <c r="AR34" s="557"/>
      <c r="AS34" s="557"/>
      <c r="AT34" s="557"/>
      <c r="AU34" s="557"/>
      <c r="AV34" s="557"/>
      <c r="AW34" s="557"/>
      <c r="AX34" s="557"/>
      <c r="AY34" s="557"/>
      <c r="AZ34" s="316"/>
      <c r="BA34" s="487"/>
      <c r="BB34" s="311"/>
      <c r="BC34" s="485"/>
      <c r="BF34" s="97"/>
      <c r="BG34" s="97"/>
      <c r="BH34" s="97"/>
      <c r="BI34" s="114"/>
      <c r="BJ34" s="114"/>
      <c r="BK34" s="114"/>
      <c r="BL34" s="114"/>
      <c r="BM34" s="114"/>
      <c r="BN34" s="114"/>
      <c r="BO34" s="114"/>
      <c r="BP34" s="114"/>
      <c r="BQ34" s="114"/>
      <c r="BR34" s="114"/>
      <c r="BS34" s="114"/>
      <c r="BT34" s="114"/>
      <c r="BU34" s="114"/>
      <c r="BV34" s="114"/>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row>
    <row r="35" spans="1:105" ht="27" customHeight="1" x14ac:dyDescent="0.2">
      <c r="A35" s="302"/>
      <c r="B35" s="302"/>
      <c r="C35" s="300"/>
      <c r="D35" s="862"/>
      <c r="E35" s="634"/>
      <c r="F35" s="634"/>
      <c r="G35" s="634"/>
      <c r="H35" s="634"/>
      <c r="I35" s="634"/>
      <c r="J35" s="634"/>
      <c r="K35" s="855"/>
      <c r="L35" s="856"/>
      <c r="M35" s="856"/>
      <c r="N35" s="857"/>
      <c r="O35" s="634"/>
      <c r="P35" s="634"/>
      <c r="Q35" s="634"/>
      <c r="R35" s="634"/>
      <c r="S35" s="634"/>
      <c r="T35" s="634"/>
      <c r="U35" s="843" t="str">
        <f>D14&amp;" (W3,6)"</f>
        <v>Explotación de minas y canteras (CIIU 05-09) (W3,6)</v>
      </c>
      <c r="V35" s="844"/>
      <c r="W35" s="844"/>
      <c r="X35" s="844"/>
      <c r="Y35" s="844"/>
      <c r="Z35" s="844"/>
      <c r="AA35" s="844"/>
      <c r="AB35" s="845"/>
      <c r="AC35" s="312"/>
      <c r="AD35" s="623"/>
      <c r="AE35" s="623"/>
      <c r="AF35" s="623"/>
      <c r="AG35" s="316"/>
      <c r="AH35" s="311"/>
      <c r="AI35" s="311"/>
      <c r="AJ35" s="311"/>
      <c r="AK35" s="311"/>
      <c r="AL35" s="312"/>
      <c r="AM35" s="312"/>
      <c r="AN35" s="312"/>
      <c r="AO35" s="312"/>
      <c r="AP35" s="312"/>
      <c r="AQ35" s="312"/>
      <c r="AR35" s="312"/>
      <c r="AS35" s="312"/>
      <c r="AT35" s="312"/>
      <c r="AU35" s="312"/>
      <c r="AV35" s="312"/>
      <c r="AW35" s="312"/>
      <c r="AX35" s="312"/>
      <c r="AY35" s="312"/>
      <c r="AZ35" s="483"/>
      <c r="BA35" s="484"/>
      <c r="BB35" s="311"/>
      <c r="BC35" s="485"/>
      <c r="BD35" s="339" t="s">
        <v>449</v>
      </c>
      <c r="BE35" s="340" t="s">
        <v>450</v>
      </c>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c r="CO35" s="453"/>
      <c r="CP35" s="453"/>
      <c r="CQ35" s="453"/>
      <c r="CR35" s="453"/>
      <c r="CS35" s="453"/>
      <c r="CT35" s="453"/>
      <c r="CU35" s="453"/>
      <c r="CV35" s="453"/>
      <c r="CW35" s="453"/>
      <c r="CX35" s="453"/>
      <c r="CY35" s="453"/>
      <c r="CZ35" s="453"/>
      <c r="DA35" s="453"/>
    </row>
    <row r="36" spans="1:105" ht="9.6" customHeight="1" x14ac:dyDescent="0.2">
      <c r="A36" s="302"/>
      <c r="B36" s="302"/>
      <c r="C36" s="300"/>
      <c r="D36" s="862"/>
      <c r="E36" s="634"/>
      <c r="F36" s="634"/>
      <c r="G36" s="634"/>
      <c r="H36" s="634"/>
      <c r="I36" s="634"/>
      <c r="J36" s="634"/>
      <c r="K36" s="855"/>
      <c r="L36" s="856"/>
      <c r="M36" s="856"/>
      <c r="N36" s="857"/>
      <c r="O36" s="634"/>
      <c r="P36" s="634"/>
      <c r="Q36" s="634"/>
      <c r="R36" s="634"/>
      <c r="S36" s="634"/>
      <c r="T36" s="634"/>
      <c r="U36" s="634"/>
      <c r="V36" s="634"/>
      <c r="W36" s="634"/>
      <c r="X36" s="634"/>
      <c r="Y36" s="634"/>
      <c r="Z36" s="634"/>
      <c r="AA36" s="314"/>
      <c r="AB36" s="313"/>
      <c r="AC36" s="316"/>
      <c r="AD36" s="316"/>
      <c r="AE36" s="316"/>
      <c r="AF36" s="316"/>
      <c r="AG36" s="316"/>
      <c r="AH36" s="311"/>
      <c r="AI36" s="311"/>
      <c r="AJ36" s="311"/>
      <c r="AK36" s="311"/>
      <c r="AL36" s="557"/>
      <c r="AM36" s="557"/>
      <c r="AN36" s="557"/>
      <c r="AO36" s="557"/>
      <c r="AP36" s="557"/>
      <c r="AQ36" s="557"/>
      <c r="AR36" s="557"/>
      <c r="AS36" s="557"/>
      <c r="AT36" s="557"/>
      <c r="AU36" s="557"/>
      <c r="AV36" s="557"/>
      <c r="AW36" s="557"/>
      <c r="AX36" s="557"/>
      <c r="AY36" s="557"/>
      <c r="AZ36" s="316"/>
      <c r="BA36" s="487"/>
      <c r="BB36" s="311"/>
      <c r="BC36" s="485"/>
      <c r="BF36" s="97"/>
      <c r="BG36" s="97"/>
      <c r="BH36" s="97"/>
      <c r="BI36" s="114"/>
      <c r="BJ36" s="114"/>
      <c r="BK36" s="114"/>
      <c r="BL36" s="114"/>
      <c r="BM36" s="114"/>
      <c r="BN36" s="114"/>
      <c r="BO36" s="114"/>
      <c r="BP36" s="114"/>
      <c r="BQ36" s="114"/>
      <c r="BR36" s="114"/>
      <c r="BS36" s="114"/>
      <c r="BT36" s="114"/>
      <c r="BU36" s="114"/>
      <c r="BV36" s="114"/>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row>
    <row r="37" spans="1:105" ht="19.149999999999999" customHeight="1" x14ac:dyDescent="0.2">
      <c r="A37" s="302"/>
      <c r="B37" s="302"/>
      <c r="C37" s="300"/>
      <c r="D37" s="863"/>
      <c r="E37" s="634"/>
      <c r="F37" s="634"/>
      <c r="G37" s="634"/>
      <c r="H37" s="634"/>
      <c r="I37" s="634"/>
      <c r="J37" s="634"/>
      <c r="K37" s="858"/>
      <c r="L37" s="859"/>
      <c r="M37" s="859"/>
      <c r="N37" s="860"/>
      <c r="O37" s="634"/>
      <c r="P37" s="634"/>
      <c r="Q37" s="634"/>
      <c r="R37" s="634"/>
      <c r="S37" s="634"/>
      <c r="T37" s="634"/>
      <c r="U37" s="843" t="str">
        <f>D15&amp;" (W3,7)"</f>
        <v>Industrias manufactureras (CIIU 10-33) (W3,7)</v>
      </c>
      <c r="V37" s="844"/>
      <c r="W37" s="844"/>
      <c r="X37" s="844"/>
      <c r="Y37" s="844"/>
      <c r="Z37" s="844"/>
      <c r="AA37" s="844"/>
      <c r="AB37" s="845"/>
      <c r="AC37" s="316"/>
      <c r="AD37" s="316"/>
      <c r="AE37" s="316"/>
      <c r="AF37" s="316"/>
      <c r="AG37" s="316"/>
      <c r="AH37" s="311"/>
      <c r="AI37" s="311"/>
      <c r="AJ37" s="311"/>
      <c r="AK37" s="311"/>
      <c r="AL37" s="312"/>
      <c r="AM37" s="312"/>
      <c r="AN37" s="312"/>
      <c r="AO37" s="312"/>
      <c r="AP37" s="312"/>
      <c r="AQ37" s="312"/>
      <c r="AR37" s="312"/>
      <c r="AS37" s="312"/>
      <c r="AT37" s="312"/>
      <c r="AU37" s="312"/>
      <c r="AV37" s="312"/>
      <c r="AW37" s="312"/>
      <c r="AX37" s="312"/>
      <c r="AY37" s="312"/>
      <c r="AZ37" s="483"/>
      <c r="BA37" s="484"/>
      <c r="BB37" s="311"/>
      <c r="BC37" s="485"/>
      <c r="BD37" s="341" t="s">
        <v>452</v>
      </c>
      <c r="BE37" s="340" t="s">
        <v>454</v>
      </c>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3"/>
      <c r="CT37" s="453"/>
      <c r="CU37" s="453"/>
      <c r="CV37" s="453"/>
      <c r="CW37" s="453"/>
      <c r="CX37" s="453"/>
      <c r="CY37" s="453"/>
      <c r="CZ37" s="453"/>
      <c r="DA37" s="453"/>
    </row>
    <row r="38" spans="1:105" ht="10.9" customHeight="1" x14ac:dyDescent="0.2">
      <c r="A38" s="302"/>
      <c r="B38" s="302"/>
      <c r="C38" s="300"/>
      <c r="D38" s="311"/>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634"/>
      <c r="AD38" s="634"/>
      <c r="AE38" s="316"/>
      <c r="AF38" s="316"/>
      <c r="AG38" s="316"/>
      <c r="AH38" s="311"/>
      <c r="AI38" s="311"/>
      <c r="AJ38" s="311"/>
      <c r="AK38" s="311"/>
      <c r="AL38" s="557"/>
      <c r="AM38" s="557"/>
      <c r="AN38" s="557"/>
      <c r="AO38" s="557"/>
      <c r="AP38" s="557"/>
      <c r="AQ38" s="557"/>
      <c r="AR38" s="557"/>
      <c r="AS38" s="557"/>
      <c r="AT38" s="557"/>
      <c r="AU38" s="557"/>
      <c r="AV38" s="557"/>
      <c r="AW38" s="557"/>
      <c r="AX38" s="557"/>
      <c r="AY38" s="557"/>
      <c r="AZ38" s="316"/>
      <c r="BA38" s="487"/>
      <c r="BB38" s="311"/>
      <c r="BC38" s="485"/>
      <c r="BD38" s="97"/>
      <c r="BE38" s="490"/>
      <c r="BF38" s="97"/>
      <c r="BG38" s="97"/>
      <c r="BH38" s="97"/>
      <c r="BI38" s="114"/>
      <c r="BJ38" s="114"/>
      <c r="BK38" s="114"/>
      <c r="BL38" s="114"/>
      <c r="BM38" s="114"/>
      <c r="BN38" s="114"/>
      <c r="BO38" s="114"/>
      <c r="BP38" s="114"/>
      <c r="BQ38" s="114"/>
      <c r="BR38" s="114"/>
      <c r="BS38" s="114"/>
      <c r="BT38" s="114"/>
      <c r="BU38" s="114"/>
      <c r="BV38" s="114"/>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row>
    <row r="39" spans="1:105" ht="19.149999999999999" customHeight="1" x14ac:dyDescent="0.2">
      <c r="A39" s="302"/>
      <c r="B39" s="302"/>
      <c r="C39" s="300"/>
      <c r="D39" s="311"/>
      <c r="E39" s="314"/>
      <c r="F39" s="314"/>
      <c r="G39" s="314"/>
      <c r="H39" s="314"/>
      <c r="I39" s="314"/>
      <c r="J39" s="314"/>
      <c r="K39" s="314"/>
      <c r="L39" s="314"/>
      <c r="M39" s="314"/>
      <c r="N39" s="314"/>
      <c r="O39" s="314"/>
      <c r="P39" s="314"/>
      <c r="Q39" s="314"/>
      <c r="R39" s="314"/>
      <c r="S39" s="314"/>
      <c r="T39" s="314"/>
      <c r="U39" s="843" t="str">
        <f>D16&amp;" (W3,8)"</f>
        <v>Suministro de electricidad, gas, vapor y aire acondicionado (CIIU 35) (W3,8)</v>
      </c>
      <c r="V39" s="844"/>
      <c r="W39" s="844"/>
      <c r="X39" s="844"/>
      <c r="Y39" s="844"/>
      <c r="Z39" s="844"/>
      <c r="AA39" s="844"/>
      <c r="AB39" s="845"/>
      <c r="AC39" s="634"/>
      <c r="AD39" s="634"/>
      <c r="AE39" s="316"/>
      <c r="AF39" s="316"/>
      <c r="AG39" s="316"/>
      <c r="AH39" s="311"/>
      <c r="AI39" s="311"/>
      <c r="AJ39" s="311"/>
      <c r="AK39" s="311"/>
      <c r="AL39" s="557"/>
      <c r="AM39" s="557"/>
      <c r="AN39" s="557"/>
      <c r="AO39" s="557"/>
      <c r="AP39" s="557"/>
      <c r="AQ39" s="557"/>
      <c r="AR39" s="557"/>
      <c r="AS39" s="557"/>
      <c r="AT39" s="557"/>
      <c r="AU39" s="557"/>
      <c r="AV39" s="557"/>
      <c r="AW39" s="557"/>
      <c r="AX39" s="557"/>
      <c r="AY39" s="557"/>
      <c r="AZ39" s="316"/>
      <c r="BA39" s="487"/>
      <c r="BB39" s="311"/>
      <c r="BC39" s="485"/>
      <c r="BD39" s="341" t="s">
        <v>451</v>
      </c>
      <c r="BE39" s="340" t="s">
        <v>386</v>
      </c>
      <c r="BF39" s="97"/>
      <c r="BG39" s="97"/>
      <c r="BH39" s="97"/>
      <c r="BI39" s="114"/>
      <c r="BJ39" s="114"/>
      <c r="BK39" s="114"/>
      <c r="BL39" s="114"/>
      <c r="BM39" s="114"/>
      <c r="BN39" s="114"/>
      <c r="BO39" s="114"/>
      <c r="BP39" s="114"/>
      <c r="BQ39" s="114"/>
      <c r="BR39" s="114"/>
      <c r="BS39" s="114"/>
      <c r="BT39" s="114"/>
      <c r="BU39" s="114"/>
      <c r="BV39" s="114"/>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row>
    <row r="40" spans="1:105" ht="12" customHeight="1" x14ac:dyDescent="0.2">
      <c r="A40" s="302"/>
      <c r="B40" s="302"/>
      <c r="C40" s="300"/>
      <c r="D40" s="311"/>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634"/>
      <c r="AD40" s="634"/>
      <c r="AE40" s="316"/>
      <c r="AF40" s="316"/>
      <c r="AG40" s="316"/>
      <c r="AH40" s="311"/>
      <c r="AI40" s="311"/>
      <c r="AJ40" s="311"/>
      <c r="AK40" s="311"/>
      <c r="AL40" s="557"/>
      <c r="AM40" s="557"/>
      <c r="AN40" s="557"/>
      <c r="AO40" s="557"/>
      <c r="AP40" s="557"/>
      <c r="AQ40" s="557"/>
      <c r="AR40" s="557"/>
      <c r="AS40" s="557"/>
      <c r="AT40" s="557"/>
      <c r="AU40" s="557"/>
      <c r="AV40" s="557"/>
      <c r="AW40" s="557"/>
      <c r="AX40" s="557"/>
      <c r="AY40" s="557"/>
      <c r="AZ40" s="316"/>
      <c r="BA40" s="487"/>
      <c r="BB40" s="311"/>
      <c r="BC40" s="485"/>
      <c r="BF40" s="97"/>
      <c r="BG40" s="97"/>
      <c r="BH40" s="97"/>
      <c r="BI40" s="114"/>
      <c r="BJ40" s="114"/>
      <c r="BK40" s="114"/>
      <c r="BL40" s="114"/>
      <c r="BM40" s="114"/>
      <c r="BN40" s="114"/>
      <c r="BO40" s="114"/>
      <c r="BP40" s="114"/>
      <c r="BQ40" s="114"/>
      <c r="BR40" s="114"/>
      <c r="BS40" s="114"/>
      <c r="BT40" s="114"/>
      <c r="BU40" s="114"/>
      <c r="BV40" s="114"/>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row>
    <row r="41" spans="1:105" ht="19.149999999999999" customHeight="1" x14ac:dyDescent="0.2">
      <c r="A41" s="302"/>
      <c r="B41" s="302"/>
      <c r="C41" s="300"/>
      <c r="D41" s="311"/>
      <c r="E41" s="314"/>
      <c r="F41" s="314"/>
      <c r="G41" s="314"/>
      <c r="H41" s="314"/>
      <c r="I41" s="314"/>
      <c r="J41" s="314"/>
      <c r="K41" s="314"/>
      <c r="L41" s="314"/>
      <c r="M41" s="314"/>
      <c r="N41" s="314"/>
      <c r="O41" s="314"/>
      <c r="P41" s="314"/>
      <c r="Q41" s="314"/>
      <c r="R41" s="314"/>
      <c r="S41" s="314"/>
      <c r="T41" s="314"/>
      <c r="U41" s="843" t="str">
        <f>D18&amp;" (W3,10)"</f>
        <v>Construcción (CIIU 41-43) (W3,10)</v>
      </c>
      <c r="V41" s="844"/>
      <c r="W41" s="844"/>
      <c r="X41" s="844"/>
      <c r="Y41" s="844"/>
      <c r="Z41" s="844"/>
      <c r="AA41" s="844"/>
      <c r="AB41" s="845"/>
      <c r="AC41" s="634"/>
      <c r="AD41" s="634"/>
      <c r="AE41" s="316"/>
      <c r="AF41" s="316"/>
      <c r="AG41" s="316"/>
      <c r="AH41" s="311"/>
      <c r="AI41" s="311"/>
      <c r="AJ41" s="311"/>
      <c r="AK41" s="311"/>
      <c r="AL41" s="557"/>
      <c r="AM41" s="557"/>
      <c r="AN41" s="557"/>
      <c r="AO41" s="557"/>
      <c r="AP41" s="557"/>
      <c r="AQ41" s="557"/>
      <c r="AR41" s="557"/>
      <c r="AS41" s="557"/>
      <c r="AT41" s="557"/>
      <c r="AU41" s="557"/>
      <c r="AV41" s="557"/>
      <c r="AW41" s="557"/>
      <c r="AX41" s="557"/>
      <c r="AY41" s="557"/>
      <c r="AZ41" s="316"/>
      <c r="BA41" s="487"/>
      <c r="BB41" s="311"/>
      <c r="BC41" s="485"/>
      <c r="BD41" s="341" t="s">
        <v>452</v>
      </c>
      <c r="BE41" s="340" t="s">
        <v>454</v>
      </c>
      <c r="BF41" s="453"/>
      <c r="BG41" s="453"/>
      <c r="BH41" s="453"/>
      <c r="BI41" s="453"/>
      <c r="BJ41" s="453"/>
      <c r="BK41" s="453"/>
      <c r="BL41" s="453"/>
      <c r="BM41" s="453"/>
      <c r="BN41" s="453"/>
      <c r="BO41" s="453"/>
      <c r="BP41" s="453"/>
      <c r="BQ41" s="453"/>
      <c r="BR41" s="453"/>
      <c r="BS41" s="453"/>
      <c r="BT41" s="453"/>
      <c r="BU41" s="453"/>
      <c r="BV41" s="453"/>
      <c r="BW41" s="453"/>
      <c r="BX41" s="453"/>
      <c r="BY41" s="453"/>
      <c r="BZ41" s="453"/>
      <c r="CA41" s="453"/>
      <c r="CB41" s="453"/>
      <c r="CC41" s="453"/>
      <c r="CD41" s="453"/>
      <c r="CE41" s="453"/>
      <c r="CF41" s="453"/>
      <c r="CG41" s="453"/>
      <c r="CH41" s="453"/>
      <c r="CI41" s="453"/>
      <c r="CJ41" s="453"/>
      <c r="CK41" s="453"/>
      <c r="CL41" s="453"/>
      <c r="CM41" s="453"/>
      <c r="CN41" s="453"/>
      <c r="CO41" s="453"/>
      <c r="CP41" s="453"/>
      <c r="CQ41" s="453"/>
      <c r="CR41" s="453"/>
      <c r="CS41" s="453"/>
      <c r="CT41" s="453"/>
      <c r="CU41" s="453"/>
      <c r="CV41" s="453"/>
      <c r="CW41" s="453"/>
      <c r="CX41" s="453"/>
      <c r="CY41" s="453"/>
      <c r="CZ41" s="453"/>
      <c r="DA41" s="453"/>
    </row>
    <row r="42" spans="1:105" ht="11.45" customHeight="1" x14ac:dyDescent="0.2">
      <c r="A42" s="302"/>
      <c r="B42" s="302"/>
      <c r="C42" s="300"/>
      <c r="D42" s="311"/>
      <c r="E42" s="846" t="str">
        <f>D9&amp;" (W3, 2)"</f>
        <v>Pérdidas durante el transporte (CIIU 36) (W3, 2)</v>
      </c>
      <c r="F42" s="847"/>
      <c r="G42" s="847"/>
      <c r="H42" s="848"/>
      <c r="I42" s="314"/>
      <c r="J42" s="314"/>
      <c r="K42" s="314"/>
      <c r="L42" s="314"/>
      <c r="M42" s="314"/>
      <c r="N42" s="314"/>
      <c r="O42" s="314"/>
      <c r="P42" s="314"/>
      <c r="Q42" s="314"/>
      <c r="R42" s="314"/>
      <c r="S42" s="314"/>
      <c r="T42" s="314"/>
      <c r="U42" s="314"/>
      <c r="V42" s="314"/>
      <c r="W42" s="314"/>
      <c r="X42" s="484"/>
      <c r="Y42" s="312"/>
      <c r="Z42" s="312"/>
      <c r="AA42" s="620"/>
      <c r="AB42" s="620"/>
      <c r="AC42" s="634"/>
      <c r="AD42" s="634"/>
      <c r="AE42" s="316"/>
      <c r="AF42" s="316"/>
      <c r="AG42" s="316"/>
      <c r="AH42" s="311"/>
      <c r="AI42" s="311"/>
      <c r="AJ42" s="311"/>
      <c r="AK42" s="311"/>
      <c r="AL42" s="312"/>
      <c r="AM42" s="312"/>
      <c r="AN42" s="312"/>
      <c r="AO42" s="312"/>
      <c r="AP42" s="312"/>
      <c r="AQ42" s="312"/>
      <c r="AR42" s="312"/>
      <c r="AS42" s="312"/>
      <c r="AT42" s="312"/>
      <c r="AU42" s="312"/>
      <c r="AV42" s="312"/>
      <c r="AW42" s="312"/>
      <c r="AX42" s="312"/>
      <c r="AY42" s="312"/>
      <c r="AZ42" s="483"/>
      <c r="BA42" s="484"/>
      <c r="BB42" s="311"/>
      <c r="BC42" s="485"/>
      <c r="BD42" s="97"/>
      <c r="BE42" s="490"/>
      <c r="BF42" s="97"/>
      <c r="BG42" s="97"/>
      <c r="BH42" s="97"/>
      <c r="BI42" s="114"/>
      <c r="BJ42" s="114"/>
      <c r="BK42" s="114"/>
      <c r="BL42" s="114"/>
      <c r="BM42" s="114"/>
      <c r="BN42" s="114"/>
      <c r="BO42" s="114"/>
      <c r="BP42" s="114"/>
      <c r="BQ42" s="114"/>
      <c r="BR42" s="114"/>
      <c r="BS42" s="114"/>
      <c r="BT42" s="114"/>
      <c r="BU42" s="114"/>
      <c r="BV42" s="114"/>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row>
    <row r="43" spans="1:105" s="220" customFormat="1" ht="18" customHeight="1" x14ac:dyDescent="0.2">
      <c r="A43" s="198"/>
      <c r="B43" s="199"/>
      <c r="C43" s="424"/>
      <c r="D43" s="311"/>
      <c r="E43" s="834"/>
      <c r="F43" s="835"/>
      <c r="G43" s="835"/>
      <c r="H43" s="836"/>
      <c r="I43" s="314"/>
      <c r="J43" s="314"/>
      <c r="K43" s="314"/>
      <c r="L43" s="314"/>
      <c r="M43" s="314"/>
      <c r="N43" s="314"/>
      <c r="O43" s="314"/>
      <c r="P43" s="314"/>
      <c r="Q43" s="314"/>
      <c r="R43" s="314"/>
      <c r="S43" s="314"/>
      <c r="T43" s="314"/>
      <c r="U43" s="843" t="str">
        <f>D19&amp;" (W3,11)"</f>
        <v>Otras actividades económicas (W3,11)</v>
      </c>
      <c r="V43" s="844"/>
      <c r="W43" s="844"/>
      <c r="X43" s="844"/>
      <c r="Y43" s="844"/>
      <c r="Z43" s="844"/>
      <c r="AA43" s="844"/>
      <c r="AB43" s="845"/>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2"/>
      <c r="BD43" s="341" t="s">
        <v>451</v>
      </c>
      <c r="BE43" s="340" t="s">
        <v>386</v>
      </c>
      <c r="BF43" s="97"/>
      <c r="BG43" s="97"/>
      <c r="BH43" s="97"/>
      <c r="BI43" s="114"/>
      <c r="BJ43" s="114"/>
      <c r="BK43" s="114"/>
      <c r="BL43" s="114"/>
      <c r="BM43" s="114"/>
      <c r="BN43" s="114"/>
      <c r="BO43" s="114"/>
      <c r="BP43" s="114"/>
      <c r="BQ43" s="114"/>
      <c r="BR43" s="114"/>
      <c r="BS43" s="114"/>
      <c r="BT43" s="114"/>
      <c r="BU43" s="114"/>
      <c r="BV43" s="114"/>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row>
    <row r="44" spans="1:105" s="452" customFormat="1" ht="15.75" x14ac:dyDescent="0.25">
      <c r="A44" s="451"/>
      <c r="B44" s="440">
        <v>3</v>
      </c>
      <c r="C44" s="326" t="s">
        <v>122</v>
      </c>
      <c r="D44" s="425"/>
      <c r="E44" s="326"/>
      <c r="F44" s="231"/>
      <c r="G44" s="231"/>
      <c r="H44" s="329"/>
      <c r="I44" s="330"/>
      <c r="J44" s="330"/>
      <c r="K44" s="330"/>
      <c r="L44" s="330"/>
      <c r="M44" s="330"/>
      <c r="N44" s="330"/>
      <c r="O44" s="330"/>
      <c r="P44" s="331"/>
      <c r="Q44" s="330"/>
      <c r="R44" s="331"/>
      <c r="S44" s="330"/>
      <c r="T44" s="331"/>
      <c r="U44" s="330"/>
      <c r="V44" s="331"/>
      <c r="W44" s="330"/>
      <c r="X44" s="329"/>
      <c r="Y44" s="330"/>
      <c r="Z44" s="329"/>
      <c r="AA44" s="330"/>
      <c r="AB44" s="329"/>
      <c r="AC44" s="330"/>
      <c r="AD44" s="329"/>
      <c r="AE44" s="330"/>
      <c r="AF44" s="329"/>
      <c r="AG44" s="426"/>
      <c r="AH44" s="329"/>
      <c r="AI44" s="330"/>
      <c r="AJ44" s="331"/>
      <c r="AK44" s="330"/>
      <c r="AL44" s="329"/>
      <c r="AM44" s="330"/>
      <c r="AN44" s="329"/>
      <c r="AO44" s="330"/>
      <c r="AP44" s="330"/>
      <c r="AQ44" s="330"/>
      <c r="AR44" s="330"/>
      <c r="AS44" s="330"/>
      <c r="AT44" s="382"/>
      <c r="AU44" s="381"/>
      <c r="AV44" s="330"/>
      <c r="AW44" s="330"/>
      <c r="AX44" s="382"/>
      <c r="AY44" s="381"/>
      <c r="AZ44" s="382"/>
      <c r="BA44" s="381"/>
      <c r="BB44" s="459"/>
      <c r="BC44" s="233"/>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row>
    <row r="45" spans="1:105" ht="7.5" customHeight="1" x14ac:dyDescent="0.25">
      <c r="C45" s="427"/>
      <c r="D45" s="427"/>
      <c r="E45" s="428"/>
      <c r="F45" s="368"/>
      <c r="G45" s="368"/>
      <c r="H45" s="364"/>
      <c r="I45" s="365"/>
      <c r="J45" s="365"/>
      <c r="K45" s="365"/>
      <c r="L45" s="365"/>
      <c r="M45" s="365"/>
      <c r="N45" s="365"/>
      <c r="O45" s="365"/>
      <c r="P45" s="366"/>
      <c r="Q45" s="365"/>
      <c r="R45" s="366"/>
      <c r="S45" s="365"/>
      <c r="T45" s="366"/>
      <c r="U45" s="365"/>
      <c r="V45" s="366"/>
      <c r="W45" s="365"/>
      <c r="X45" s="364"/>
      <c r="Y45" s="365"/>
      <c r="Z45" s="364"/>
      <c r="AA45" s="365"/>
      <c r="AB45" s="364"/>
      <c r="AC45" s="365"/>
      <c r="AD45" s="364"/>
      <c r="AE45" s="365"/>
      <c r="AF45" s="364"/>
      <c r="AG45" s="429"/>
      <c r="AH45" s="364"/>
      <c r="AI45" s="365"/>
      <c r="AJ45" s="366"/>
      <c r="AK45" s="365"/>
      <c r="AL45" s="364"/>
      <c r="AM45" s="367"/>
      <c r="AN45" s="362"/>
      <c r="AO45" s="367"/>
      <c r="AP45" s="367"/>
      <c r="AQ45" s="367"/>
      <c r="AR45" s="367"/>
      <c r="AS45" s="367"/>
      <c r="AV45" s="367"/>
      <c r="AW45" s="367"/>
      <c r="BD45" s="493"/>
      <c r="BE45" s="493"/>
    </row>
    <row r="46" spans="1:105" ht="18" customHeight="1" x14ac:dyDescent="0.2">
      <c r="C46" s="495" t="s">
        <v>525</v>
      </c>
      <c r="D46" s="831" t="s">
        <v>526</v>
      </c>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832"/>
      <c r="AZ46" s="832"/>
      <c r="BA46" s="832"/>
      <c r="BB46" s="833"/>
      <c r="BC46" s="453"/>
      <c r="BD46" s="494"/>
    </row>
    <row r="47" spans="1:105" ht="18" customHeight="1" x14ac:dyDescent="0.2">
      <c r="A47" s="198">
        <v>0</v>
      </c>
      <c r="B47" s="199">
        <v>6045</v>
      </c>
      <c r="C47" s="577" t="s">
        <v>21</v>
      </c>
      <c r="D47" s="799" t="s">
        <v>686</v>
      </c>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c r="AJ47" s="800"/>
      <c r="AK47" s="800"/>
      <c r="AL47" s="800"/>
      <c r="AM47" s="800"/>
      <c r="AN47" s="800"/>
      <c r="AO47" s="800"/>
      <c r="AP47" s="800"/>
      <c r="AQ47" s="800"/>
      <c r="AR47" s="800"/>
      <c r="AS47" s="800"/>
      <c r="AT47" s="800"/>
      <c r="AU47" s="800"/>
      <c r="AV47" s="800"/>
      <c r="AW47" s="800"/>
      <c r="AX47" s="800"/>
      <c r="AY47" s="800"/>
      <c r="AZ47" s="800"/>
      <c r="BA47" s="800"/>
      <c r="BB47" s="801"/>
      <c r="BC47" s="496"/>
      <c r="BD47" s="494"/>
    </row>
    <row r="48" spans="1:105" ht="18" customHeight="1" x14ac:dyDescent="0.2">
      <c r="C48" s="577"/>
      <c r="D48" s="788"/>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90"/>
      <c r="BC48" s="496"/>
      <c r="BD48" s="494"/>
    </row>
    <row r="49" spans="3:105" ht="18" customHeight="1" x14ac:dyDescent="0.2">
      <c r="C49" s="577"/>
      <c r="D49" s="788"/>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89"/>
      <c r="AY49" s="789"/>
      <c r="AZ49" s="789"/>
      <c r="BA49" s="789"/>
      <c r="BB49" s="790"/>
      <c r="BC49" s="496"/>
      <c r="BD49" s="494"/>
    </row>
    <row r="50" spans="3:105" ht="18" customHeight="1" x14ac:dyDescent="0.2">
      <c r="C50" s="577"/>
      <c r="D50" s="788"/>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90"/>
      <c r="BC50" s="496"/>
      <c r="BD50" s="494"/>
    </row>
    <row r="51" spans="3:105" ht="18" customHeight="1" x14ac:dyDescent="0.2">
      <c r="C51" s="577"/>
      <c r="D51" s="788"/>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89"/>
      <c r="AY51" s="789"/>
      <c r="AZ51" s="789"/>
      <c r="BA51" s="789"/>
      <c r="BB51" s="790"/>
      <c r="BC51" s="496"/>
      <c r="BD51" s="494"/>
    </row>
    <row r="52" spans="3:105" ht="18" customHeight="1" x14ac:dyDescent="0.2">
      <c r="C52" s="577"/>
      <c r="D52" s="788"/>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90"/>
      <c r="BC52" s="496"/>
      <c r="BD52" s="494"/>
    </row>
    <row r="53" spans="3:105" ht="18" customHeight="1" x14ac:dyDescent="0.2">
      <c r="C53" s="577"/>
      <c r="D53" s="788"/>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90"/>
      <c r="BC53" s="496"/>
      <c r="BD53" s="494"/>
    </row>
    <row r="54" spans="3:105" ht="18" customHeight="1" x14ac:dyDescent="0.2">
      <c r="C54" s="577"/>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90"/>
      <c r="BC54" s="496"/>
      <c r="BD54" s="494"/>
    </row>
    <row r="55" spans="3:105" ht="18" customHeight="1" x14ac:dyDescent="0.2">
      <c r="C55" s="577"/>
      <c r="D55" s="788"/>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90"/>
      <c r="BC55" s="496"/>
      <c r="BD55" s="494"/>
    </row>
    <row r="56" spans="3:105" ht="18" customHeight="1" x14ac:dyDescent="0.2">
      <c r="C56" s="577"/>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90"/>
      <c r="BC56" s="496"/>
      <c r="BD56" s="453"/>
      <c r="BE56" s="453"/>
      <c r="BF56" s="453"/>
      <c r="BG56" s="453"/>
      <c r="BH56" s="453"/>
      <c r="BI56" s="453"/>
      <c r="BJ56" s="453"/>
      <c r="BK56" s="453"/>
      <c r="BL56" s="453"/>
      <c r="BM56" s="453"/>
      <c r="BN56" s="453"/>
      <c r="BO56" s="453"/>
      <c r="BP56" s="453"/>
      <c r="BQ56" s="453"/>
      <c r="BR56" s="453"/>
      <c r="BS56" s="453"/>
      <c r="BT56" s="453"/>
      <c r="BU56" s="453"/>
      <c r="BV56" s="453"/>
      <c r="BW56" s="453"/>
      <c r="BX56" s="453"/>
      <c r="BY56" s="453"/>
      <c r="BZ56" s="453"/>
      <c r="CA56" s="453"/>
      <c r="CB56" s="453"/>
      <c r="CC56" s="453"/>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row>
    <row r="57" spans="3:105" ht="18" customHeight="1" x14ac:dyDescent="0.2">
      <c r="C57" s="577"/>
      <c r="D57" s="788"/>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90"/>
      <c r="BC57" s="496"/>
      <c r="BD57" s="453"/>
      <c r="BE57" s="453"/>
      <c r="BF57" s="453"/>
      <c r="BG57" s="453"/>
      <c r="BH57" s="453"/>
      <c r="BI57" s="453"/>
      <c r="BJ57" s="453"/>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53"/>
      <c r="CW57" s="453"/>
      <c r="CX57" s="453"/>
      <c r="CY57" s="453"/>
      <c r="CZ57" s="453"/>
      <c r="DA57" s="453"/>
    </row>
    <row r="58" spans="3:105" ht="18" customHeight="1" x14ac:dyDescent="0.2">
      <c r="C58" s="577"/>
      <c r="D58" s="788"/>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90"/>
      <c r="BC58" s="496"/>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3:105" ht="18" customHeight="1" x14ac:dyDescent="0.2">
      <c r="C59" s="577"/>
      <c r="D59" s="788"/>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89"/>
      <c r="AY59" s="789"/>
      <c r="AZ59" s="789"/>
      <c r="BA59" s="789"/>
      <c r="BB59" s="790"/>
      <c r="BC59" s="496"/>
    </row>
    <row r="60" spans="3:105" ht="18" customHeight="1" x14ac:dyDescent="0.2">
      <c r="C60" s="577"/>
      <c r="D60" s="788"/>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90"/>
      <c r="BC60" s="496"/>
    </row>
    <row r="61" spans="3:105" ht="18" customHeight="1" x14ac:dyDescent="0.2">
      <c r="C61" s="577"/>
      <c r="D61" s="788"/>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789"/>
      <c r="AL61" s="789"/>
      <c r="AM61" s="789"/>
      <c r="AN61" s="789"/>
      <c r="AO61" s="789"/>
      <c r="AP61" s="789"/>
      <c r="AQ61" s="789"/>
      <c r="AR61" s="789"/>
      <c r="AS61" s="789"/>
      <c r="AT61" s="789"/>
      <c r="AU61" s="789"/>
      <c r="AV61" s="789"/>
      <c r="AW61" s="789"/>
      <c r="AX61" s="789"/>
      <c r="AY61" s="789"/>
      <c r="AZ61" s="789"/>
      <c r="BA61" s="789"/>
      <c r="BB61" s="790"/>
      <c r="BC61" s="496"/>
    </row>
    <row r="62" spans="3:105" ht="18" customHeight="1" x14ac:dyDescent="0.2">
      <c r="C62" s="577"/>
      <c r="D62" s="788"/>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90"/>
      <c r="BC62" s="496"/>
    </row>
    <row r="63" spans="3:105" ht="18" customHeight="1" x14ac:dyDescent="0.2">
      <c r="C63" s="577"/>
      <c r="D63" s="788"/>
      <c r="E63" s="789"/>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89"/>
      <c r="AY63" s="789"/>
      <c r="AZ63" s="789"/>
      <c r="BA63" s="789"/>
      <c r="BB63" s="790"/>
      <c r="BC63" s="496"/>
    </row>
    <row r="64" spans="3:105" ht="18" customHeight="1" x14ac:dyDescent="0.2">
      <c r="C64" s="577"/>
      <c r="D64" s="788"/>
      <c r="E64" s="789"/>
      <c r="F64" s="789"/>
      <c r="G64" s="789"/>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89"/>
      <c r="AY64" s="789"/>
      <c r="AZ64" s="789"/>
      <c r="BA64" s="789"/>
      <c r="BB64" s="790"/>
      <c r="BC64" s="496"/>
    </row>
    <row r="65" spans="1:105" ht="18" customHeight="1" x14ac:dyDescent="0.2">
      <c r="C65" s="577"/>
      <c r="D65" s="788"/>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89"/>
      <c r="AY65" s="789"/>
      <c r="AZ65" s="789"/>
      <c r="BA65" s="789"/>
      <c r="BB65" s="790"/>
      <c r="BC65" s="496"/>
    </row>
    <row r="66" spans="1:105" ht="18" customHeight="1" x14ac:dyDescent="0.2">
      <c r="C66" s="577"/>
      <c r="D66" s="788"/>
      <c r="E66" s="789"/>
      <c r="F66" s="789"/>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90"/>
      <c r="BC66" s="496"/>
    </row>
    <row r="67" spans="1:105" ht="18" customHeight="1" x14ac:dyDescent="0.2">
      <c r="C67" s="585"/>
      <c r="D67" s="788"/>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89"/>
      <c r="AQ67" s="789"/>
      <c r="AR67" s="789"/>
      <c r="AS67" s="789"/>
      <c r="AT67" s="789"/>
      <c r="AU67" s="789"/>
      <c r="AV67" s="789"/>
      <c r="AW67" s="789"/>
      <c r="AX67" s="789"/>
      <c r="AY67" s="789"/>
      <c r="AZ67" s="789"/>
      <c r="BA67" s="789"/>
      <c r="BB67" s="790"/>
      <c r="BC67" s="496"/>
    </row>
    <row r="68" spans="1:105" ht="18" customHeight="1" x14ac:dyDescent="0.2">
      <c r="C68" s="586"/>
      <c r="D68" s="793"/>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4"/>
      <c r="AK68" s="794"/>
      <c r="AL68" s="794"/>
      <c r="AM68" s="794"/>
      <c r="AN68" s="794"/>
      <c r="AO68" s="794"/>
      <c r="AP68" s="794"/>
      <c r="AQ68" s="794"/>
      <c r="AR68" s="794"/>
      <c r="AS68" s="794"/>
      <c r="AT68" s="794"/>
      <c r="AU68" s="794"/>
      <c r="AV68" s="794"/>
      <c r="AW68" s="794"/>
      <c r="AX68" s="794"/>
      <c r="AY68" s="794"/>
      <c r="AZ68" s="794"/>
      <c r="BA68" s="794"/>
      <c r="BB68" s="795"/>
      <c r="BC68" s="496"/>
    </row>
    <row r="69" spans="1:105" s="305" customFormat="1" ht="10.5" customHeight="1" x14ac:dyDescent="0.2">
      <c r="A69" s="497"/>
      <c r="B69" s="432"/>
      <c r="C69" s="452"/>
      <c r="D69" s="452"/>
      <c r="E69" s="211"/>
      <c r="F69" s="343"/>
      <c r="G69" s="343"/>
      <c r="H69" s="239"/>
      <c r="I69" s="240"/>
      <c r="J69" s="240"/>
      <c r="K69" s="240"/>
      <c r="L69" s="240"/>
      <c r="M69" s="240"/>
      <c r="N69" s="240"/>
      <c r="O69" s="240"/>
      <c r="P69" s="241"/>
      <c r="Q69" s="240"/>
      <c r="R69" s="241"/>
      <c r="S69" s="240"/>
      <c r="T69" s="241"/>
      <c r="U69" s="240"/>
      <c r="V69" s="241"/>
      <c r="W69" s="240"/>
      <c r="X69" s="239"/>
      <c r="Y69" s="240"/>
      <c r="Z69" s="239"/>
      <c r="AA69" s="240"/>
      <c r="AB69" s="239"/>
      <c r="AC69" s="240"/>
      <c r="AD69" s="239"/>
      <c r="AE69" s="240"/>
      <c r="AF69" s="239"/>
      <c r="AG69" s="498"/>
      <c r="AH69" s="239"/>
      <c r="AI69" s="240"/>
      <c r="AJ69" s="241"/>
      <c r="AK69" s="240"/>
      <c r="AL69" s="239"/>
      <c r="AM69" s="240"/>
      <c r="AN69" s="239"/>
      <c r="AO69" s="367"/>
      <c r="AP69" s="367"/>
      <c r="AQ69" s="367"/>
      <c r="AR69" s="367"/>
      <c r="AS69" s="367"/>
      <c r="AT69" s="362"/>
      <c r="AU69" s="367"/>
      <c r="AV69" s="367"/>
      <c r="AW69" s="367"/>
      <c r="AX69" s="362"/>
      <c r="AY69" s="367"/>
      <c r="AZ69" s="362"/>
      <c r="BA69" s="367"/>
      <c r="BC69" s="453"/>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209"/>
      <c r="CK69" s="209"/>
      <c r="CL69" s="209"/>
      <c r="CM69" s="209"/>
      <c r="CN69" s="209"/>
      <c r="CO69" s="209"/>
      <c r="CP69" s="209"/>
      <c r="CQ69" s="209"/>
      <c r="CR69" s="209"/>
      <c r="CS69" s="209"/>
      <c r="CT69" s="209"/>
      <c r="CU69" s="209"/>
      <c r="CV69" s="209"/>
      <c r="CW69" s="209"/>
      <c r="CX69" s="209"/>
      <c r="CY69" s="209"/>
      <c r="CZ69" s="209"/>
      <c r="DA69" s="209"/>
    </row>
    <row r="70" spans="1:105" s="305" customFormat="1" x14ac:dyDescent="0.2">
      <c r="A70" s="497"/>
      <c r="B70" s="432"/>
      <c r="C70" s="452"/>
      <c r="D70" s="452"/>
      <c r="E70" s="211"/>
      <c r="F70" s="343"/>
      <c r="G70" s="343"/>
      <c r="H70" s="239"/>
      <c r="I70" s="240"/>
      <c r="J70" s="240"/>
      <c r="K70" s="240"/>
      <c r="L70" s="240"/>
      <c r="M70" s="240"/>
      <c r="N70" s="240"/>
      <c r="O70" s="240"/>
      <c r="P70" s="241"/>
      <c r="Q70" s="240"/>
      <c r="R70" s="241"/>
      <c r="S70" s="240"/>
      <c r="T70" s="241"/>
      <c r="U70" s="240"/>
      <c r="V70" s="241"/>
      <c r="W70" s="240"/>
      <c r="X70" s="239"/>
      <c r="Y70" s="240"/>
      <c r="Z70" s="239"/>
      <c r="AA70" s="240"/>
      <c r="AB70" s="239"/>
      <c r="AC70" s="240"/>
      <c r="AD70" s="239"/>
      <c r="AE70" s="240"/>
      <c r="AF70" s="239"/>
      <c r="AG70" s="240"/>
      <c r="AH70" s="239"/>
      <c r="AI70" s="240"/>
      <c r="AJ70" s="241"/>
      <c r="AK70" s="240"/>
      <c r="AL70" s="239"/>
      <c r="AM70" s="240"/>
      <c r="AN70" s="239"/>
      <c r="AO70" s="367"/>
      <c r="AP70" s="367"/>
      <c r="AQ70" s="367"/>
      <c r="AR70" s="367"/>
      <c r="AS70" s="367"/>
      <c r="AT70" s="362"/>
      <c r="AU70" s="367"/>
      <c r="AV70" s="367"/>
      <c r="AW70" s="367"/>
      <c r="AX70" s="362"/>
      <c r="AY70" s="367"/>
      <c r="AZ70" s="362"/>
      <c r="BA70" s="367"/>
      <c r="BC70" s="453"/>
      <c r="BD70" s="209"/>
      <c r="BE70" s="209"/>
      <c r="BF70" s="209"/>
      <c r="BG70" s="209"/>
      <c r="BH70" s="209"/>
      <c r="BI70" s="209"/>
      <c r="BJ70" s="209"/>
      <c r="BK70" s="209"/>
      <c r="BL70" s="209"/>
      <c r="BM70" s="209"/>
      <c r="BN70" s="209"/>
      <c r="BO70" s="209"/>
      <c r="BP70" s="209"/>
      <c r="BQ70" s="209"/>
      <c r="BR70" s="209"/>
      <c r="BS70" s="209"/>
      <c r="BT70" s="209"/>
      <c r="BU70" s="209"/>
      <c r="BV70" s="209"/>
      <c r="BW70" s="209"/>
      <c r="BX70" s="209"/>
      <c r="BY70" s="209"/>
      <c r="BZ70" s="209"/>
      <c r="CA70" s="209"/>
      <c r="CB70" s="209"/>
      <c r="CC70" s="209"/>
      <c r="CD70" s="209"/>
      <c r="CE70" s="209"/>
      <c r="CF70" s="209"/>
      <c r="CG70" s="209"/>
      <c r="CH70" s="209"/>
      <c r="CI70" s="209"/>
      <c r="CJ70" s="209"/>
      <c r="CK70" s="209"/>
      <c r="CL70" s="209"/>
      <c r="CM70" s="209"/>
      <c r="CN70" s="209"/>
      <c r="CO70" s="209"/>
      <c r="CP70" s="209"/>
      <c r="CQ70" s="209"/>
      <c r="CR70" s="209"/>
      <c r="CS70" s="209"/>
      <c r="CT70" s="209"/>
      <c r="CU70" s="209"/>
      <c r="CV70" s="209"/>
      <c r="CW70" s="209"/>
      <c r="CX70" s="209"/>
      <c r="CY70" s="209"/>
      <c r="CZ70" s="209"/>
      <c r="DA70" s="209"/>
    </row>
    <row r="71" spans="1:105" s="305" customFormat="1" x14ac:dyDescent="0.2">
      <c r="A71" s="497"/>
      <c r="B71" s="432"/>
      <c r="C71" s="452"/>
      <c r="D71" s="452"/>
      <c r="E71" s="211"/>
      <c r="F71" s="211"/>
      <c r="G71" s="211"/>
      <c r="H71" s="239"/>
      <c r="I71" s="240"/>
      <c r="J71" s="240"/>
      <c r="K71" s="240"/>
      <c r="L71" s="240"/>
      <c r="M71" s="240"/>
      <c r="N71" s="240"/>
      <c r="O71" s="240"/>
      <c r="P71" s="241"/>
      <c r="Q71" s="240"/>
      <c r="R71" s="241"/>
      <c r="S71" s="240"/>
      <c r="T71" s="241"/>
      <c r="U71" s="240"/>
      <c r="V71" s="241"/>
      <c r="W71" s="240"/>
      <c r="X71" s="239"/>
      <c r="Y71" s="240"/>
      <c r="Z71" s="239"/>
      <c r="AA71" s="240"/>
      <c r="AB71" s="239"/>
      <c r="AC71" s="240"/>
      <c r="AD71" s="239"/>
      <c r="AE71" s="240"/>
      <c r="AF71" s="239"/>
      <c r="AG71" s="240"/>
      <c r="AH71" s="239"/>
      <c r="AI71" s="240"/>
      <c r="AJ71" s="241"/>
      <c r="AK71" s="240"/>
      <c r="AL71" s="239"/>
      <c r="AM71" s="240"/>
      <c r="AN71" s="239"/>
      <c r="AO71" s="367"/>
      <c r="AP71" s="367"/>
      <c r="AQ71" s="367"/>
      <c r="AR71" s="367"/>
      <c r="AS71" s="367"/>
      <c r="AT71" s="362"/>
      <c r="AU71" s="367"/>
      <c r="AV71" s="367"/>
      <c r="AW71" s="367"/>
      <c r="AX71" s="362"/>
      <c r="AY71" s="367"/>
      <c r="AZ71" s="362"/>
      <c r="BA71" s="367"/>
      <c r="BC71" s="453"/>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row>
    <row r="72" spans="1:105" x14ac:dyDescent="0.2">
      <c r="C72" s="452"/>
      <c r="D72" s="452"/>
    </row>
    <row r="73" spans="1:105" x14ac:dyDescent="0.2">
      <c r="C73" s="438"/>
      <c r="D73" s="438"/>
      <c r="E73" s="438"/>
      <c r="F73" s="438"/>
      <c r="G73" s="438"/>
      <c r="H73" s="362"/>
      <c r="I73" s="367"/>
      <c r="J73" s="367"/>
      <c r="K73" s="367"/>
      <c r="L73" s="367"/>
      <c r="M73" s="367"/>
      <c r="N73" s="367"/>
      <c r="O73" s="367"/>
      <c r="P73" s="441"/>
      <c r="Q73" s="367"/>
      <c r="R73" s="441"/>
      <c r="S73" s="367"/>
      <c r="T73" s="441"/>
      <c r="U73" s="367"/>
      <c r="V73" s="441"/>
      <c r="W73" s="367"/>
      <c r="X73" s="362"/>
      <c r="Y73" s="367"/>
      <c r="Z73" s="362"/>
      <c r="AA73" s="367"/>
      <c r="AB73" s="362"/>
      <c r="AC73" s="367"/>
      <c r="AD73" s="362"/>
      <c r="AE73" s="367"/>
      <c r="AF73" s="362"/>
      <c r="AG73" s="367"/>
      <c r="AH73" s="362"/>
      <c r="AI73" s="367"/>
      <c r="AJ73" s="441"/>
      <c r="AK73" s="367"/>
      <c r="AL73" s="362"/>
      <c r="AM73" s="367"/>
      <c r="AN73" s="362"/>
    </row>
  </sheetData>
  <sheetProtection sheet="1" objects="1" scenarios="1" formatCells="0" formatColumns="0" formatRows="0" insertColumns="0"/>
  <mergeCells count="44">
    <mergeCell ref="D68:BB68"/>
    <mergeCell ref="D64:BB64"/>
    <mergeCell ref="D65:BB65"/>
    <mergeCell ref="D66:BB66"/>
    <mergeCell ref="D67:BB67"/>
    <mergeCell ref="D62:BB62"/>
    <mergeCell ref="D63:BB63"/>
    <mergeCell ref="D27:BB27"/>
    <mergeCell ref="D29:BB29"/>
    <mergeCell ref="C5:AN5"/>
    <mergeCell ref="D28:AU28"/>
    <mergeCell ref="D26:BB26"/>
    <mergeCell ref="AJ6:BA6"/>
    <mergeCell ref="D56:BB56"/>
    <mergeCell ref="D61:BB61"/>
    <mergeCell ref="D54:BB54"/>
    <mergeCell ref="D55:BB55"/>
    <mergeCell ref="D51:BB51"/>
    <mergeCell ref="D48:BB48"/>
    <mergeCell ref="D49:BB49"/>
    <mergeCell ref="D50:BB50"/>
    <mergeCell ref="D57:BB57"/>
    <mergeCell ref="D58:BB58"/>
    <mergeCell ref="D59:BB59"/>
    <mergeCell ref="D60:BB60"/>
    <mergeCell ref="U35:AB35"/>
    <mergeCell ref="K32:N37"/>
    <mergeCell ref="D33:D37"/>
    <mergeCell ref="D47:BB47"/>
    <mergeCell ref="D46:BB46"/>
    <mergeCell ref="U37:AB37"/>
    <mergeCell ref="D52:BB52"/>
    <mergeCell ref="D53:BB53"/>
    <mergeCell ref="BK3:BM3"/>
    <mergeCell ref="BQ3:BS3"/>
    <mergeCell ref="U39:AB39"/>
    <mergeCell ref="U41:AB41"/>
    <mergeCell ref="E42:H43"/>
    <mergeCell ref="U43:AB43"/>
    <mergeCell ref="P31:R33"/>
    <mergeCell ref="E6:AI6"/>
    <mergeCell ref="U31:AB31"/>
    <mergeCell ref="U33:AB33"/>
    <mergeCell ref="D30:BB30"/>
  </mergeCells>
  <phoneticPr fontId="10" type="noConversion"/>
  <conditionalFormatting sqref="F10 H10 J10 L10 N10 P10 R10 T10 V10 X10 Z10 AB10 AD10 AF10 AH10 AJ10 AL10 AN10 AP10 AR10 AT10 AZ10 AV10 AX10">
    <cfRule type="cellIs" dxfId="81" priority="6" stopIfTrue="1" operator="lessThan">
      <formula>0.99*(F12+F13+F14+F15+F16+F18+F19)</formula>
    </cfRule>
  </conditionalFormatting>
  <conditionalFormatting sqref="F8 H8 J8 L8 N8 P8 R8 T8 V8 X8 Z8 AB8 AD8 AF8 AH8 AJ8 AL8 AN8 AP8 AR8 AT8 AZ8 AV8 AX8">
    <cfRule type="cellIs" dxfId="80" priority="5" stopIfTrue="1" operator="lessThan">
      <formula>0.99*(F9+F10)</formula>
    </cfRule>
  </conditionalFormatting>
  <conditionalFormatting sqref="BG28:DA28 BG30:DA31">
    <cfRule type="cellIs" dxfId="79" priority="3" stopIfTrue="1" operator="equal">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dxfId="78" priority="2" stopIfTrue="1" operator="equal">
      <formula>"&gt; 25%"</formula>
    </cfRule>
  </conditionalFormatting>
  <conditionalFormatting sqref="BI8:BI10 BI12:BI19">
    <cfRule type="cellIs" dxfId="77" priority="4" stopIfTrue="1" operator="equal">
      <formula>"&gt; 100%"</formula>
    </cfRule>
  </conditionalFormatting>
  <conditionalFormatting sqref="CW21:CW23 CY21:CY23 CW8:CW10 CY8:CY10 CY12:CY19 CW12:CW19">
    <cfRule type="cellIs" dxfId="76" priority="1" stopIfTrue="1" operator="equal">
      <formula>"&gt; 25%"</formula>
    </cfRule>
  </conditionalFormatting>
  <printOptions horizontalCentered="1"/>
  <pageMargins left="0.5" right="0.5" top="0.75" bottom="0.75" header="0.5" footer="0.5"/>
  <pageSetup paperSize="9" scale="55" firstPageNumber="19" fitToHeight="0" orientation="landscape" r:id="rId1"/>
  <headerFooter alignWithMargins="0">
    <oddFooter>&amp;C&amp;"Arial,Regular"UNSD/Programa de las Naciones Unidas para el Medio Ambiente Cuestionario 2018 Estadisticas Ambientales -  Sección del Agua -  &amp;P</oddFooter>
  </headerFooter>
  <rowBreaks count="1" manualBreakCount="1">
    <brk id="43" min="2" max="5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fitToPage="1"/>
  </sheetPr>
  <dimension ref="A1:DA73"/>
  <sheetViews>
    <sheetView showGridLines="0" topLeftCell="C1" zoomScale="85" zoomScaleNormal="85" zoomScaleSheetLayoutView="85" zoomScalePageLayoutView="40" workbookViewId="0">
      <selection activeCell="F8" sqref="F8"/>
    </sheetView>
  </sheetViews>
  <sheetFormatPr defaultColWidth="9.33203125" defaultRowHeight="12.75" x14ac:dyDescent="0.2"/>
  <cols>
    <col min="1" max="1" width="4.83203125" style="198" hidden="1" customWidth="1"/>
    <col min="2" max="2" width="8.83203125" style="199" hidden="1" customWidth="1"/>
    <col min="3" max="3" width="8.33203125" style="211" customWidth="1"/>
    <col min="4" max="4" width="37.6640625" style="211" customWidth="1"/>
    <col min="5" max="5" width="13.6640625" style="211" customWidth="1"/>
    <col min="6" max="6" width="7.6640625" style="211" customWidth="1"/>
    <col min="7" max="7" width="1.83203125" style="211" customWidth="1"/>
    <col min="8" max="8" width="7" style="239" customWidth="1"/>
    <col min="9" max="9" width="1.83203125" style="240" customWidth="1"/>
    <col min="10" max="10" width="7.1640625" style="240" customWidth="1"/>
    <col min="11" max="11" width="1.83203125" style="240" customWidth="1"/>
    <col min="12" max="12" width="7.1640625" style="240" customWidth="1"/>
    <col min="13" max="13" width="1.83203125" style="240" customWidth="1"/>
    <col min="14" max="14" width="7.1640625" style="240"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40" customWidth="1"/>
    <col min="49" max="49" width="1.83203125" style="240" customWidth="1"/>
    <col min="50" max="50" width="7" style="239" customWidth="1"/>
    <col min="51" max="51" width="1.83203125" style="240" customWidth="1"/>
    <col min="52" max="52" width="7" style="239" customWidth="1"/>
    <col min="53" max="53" width="1.83203125" style="240" customWidth="1"/>
    <col min="54" max="54" width="1.83203125" style="211" customWidth="1"/>
    <col min="55" max="55" width="4.5" style="209" customWidth="1"/>
    <col min="56" max="56" width="6.33203125" style="422" customWidth="1"/>
    <col min="57" max="57" width="21" style="211" customWidth="1"/>
    <col min="58" max="58" width="9.33203125" style="211"/>
    <col min="59" max="59" width="6" style="211" customWidth="1"/>
    <col min="60" max="60" width="1.1640625" style="211" customWidth="1"/>
    <col min="61" max="61" width="9.33203125" style="211"/>
    <col min="62" max="62" width="1.1640625" style="211" customWidth="1"/>
    <col min="63" max="63" width="9.33203125" style="211"/>
    <col min="64" max="64" width="1.1640625" style="211" customWidth="1"/>
    <col min="65" max="65" width="9.33203125" style="211"/>
    <col min="66" max="66" width="1.1640625" style="211" customWidth="1"/>
    <col min="67" max="67" width="9.33203125" style="211"/>
    <col min="68" max="68" width="1.1640625" style="211" customWidth="1"/>
    <col min="69" max="69" width="9.33203125" style="211"/>
    <col min="70" max="70" width="1.1640625" style="211" customWidth="1"/>
    <col min="71" max="71" width="9.33203125" style="211"/>
    <col min="72" max="72" width="1.1640625" style="211" customWidth="1"/>
    <col min="73" max="73" width="9.33203125" style="211"/>
    <col min="74" max="74" width="1.1640625" style="211" customWidth="1"/>
    <col min="75" max="75" width="9.33203125" style="211"/>
    <col min="76" max="76" width="1.1640625" style="211" customWidth="1"/>
    <col min="77" max="77" width="9.33203125" style="211"/>
    <col min="78" max="78" width="1.1640625" style="211" customWidth="1"/>
    <col min="79" max="79" width="9.33203125" style="211"/>
    <col min="80" max="80" width="1.1640625" style="211" customWidth="1"/>
    <col min="81" max="81" width="9.33203125" style="211"/>
    <col min="82" max="82" width="1.1640625" style="211" customWidth="1"/>
    <col min="83" max="83" width="9.33203125" style="211"/>
    <col min="84" max="84" width="1.1640625" style="211" customWidth="1"/>
    <col min="85" max="85" width="9.33203125" style="211"/>
    <col min="86" max="86" width="1.1640625" style="211" customWidth="1"/>
    <col min="87" max="87" width="9.33203125" style="211"/>
    <col min="88" max="88" width="1.1640625" style="211" customWidth="1"/>
    <col min="89" max="89" width="9.33203125" style="211"/>
    <col min="90" max="90" width="1.1640625" style="211" customWidth="1"/>
    <col min="91" max="91" width="9.33203125" style="211"/>
    <col min="92" max="92" width="1.1640625" style="211" customWidth="1"/>
    <col min="93" max="93" width="9.33203125" style="211"/>
    <col min="94" max="94" width="1.1640625" style="211" customWidth="1"/>
    <col min="95" max="95" width="9.33203125" style="211"/>
    <col min="96" max="96" width="1.1640625" style="211" customWidth="1"/>
    <col min="97" max="97" width="9.33203125" style="211"/>
    <col min="98" max="98" width="1.1640625" style="211" customWidth="1"/>
    <col min="99" max="99" width="9.33203125" style="211"/>
    <col min="100" max="100" width="1.1640625" style="211" customWidth="1"/>
    <col min="101" max="101" width="9.33203125" style="211"/>
    <col min="102" max="102" width="1.1640625" style="211" customWidth="1"/>
    <col min="103" max="103" width="9.33203125" style="211"/>
    <col min="104" max="104" width="1.1640625" style="211" customWidth="1"/>
    <col min="105" max="16384" width="9.33203125" style="211"/>
  </cols>
  <sheetData>
    <row r="1" spans="1:105" s="452" customFormat="1" ht="15.75" customHeight="1" x14ac:dyDescent="0.25">
      <c r="A1" s="451"/>
      <c r="B1" s="199">
        <v>0</v>
      </c>
      <c r="C1" s="200" t="s">
        <v>395</v>
      </c>
      <c r="D1" s="200"/>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354"/>
      <c r="AP1" s="354"/>
      <c r="AQ1" s="354"/>
      <c r="AR1" s="354"/>
      <c r="AS1" s="354"/>
      <c r="AT1" s="353"/>
      <c r="AU1" s="354"/>
      <c r="AV1" s="354"/>
      <c r="AW1" s="354"/>
      <c r="AX1" s="353"/>
      <c r="AY1" s="354"/>
      <c r="AZ1" s="353"/>
      <c r="BA1" s="354"/>
      <c r="BB1" s="499"/>
      <c r="BC1" s="493"/>
      <c r="BD1" s="210" t="s">
        <v>465</v>
      </c>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row>
    <row r="2" spans="1:105" ht="6" customHeight="1" x14ac:dyDescent="0.2">
      <c r="E2" s="358"/>
      <c r="F2" s="358"/>
      <c r="G2" s="358"/>
      <c r="H2" s="362"/>
      <c r="AE2" s="367"/>
      <c r="AF2" s="362"/>
      <c r="AG2" s="367"/>
      <c r="AH2" s="362"/>
      <c r="AI2" s="367"/>
      <c r="AJ2" s="441"/>
      <c r="AK2" s="367"/>
      <c r="AL2" s="362"/>
      <c r="AM2" s="367"/>
      <c r="AN2" s="362"/>
      <c r="AO2" s="367"/>
      <c r="AP2" s="367"/>
      <c r="AQ2" s="367"/>
      <c r="AR2" s="367"/>
      <c r="AS2" s="367"/>
      <c r="AT2" s="362"/>
      <c r="AV2" s="367"/>
      <c r="AW2" s="367"/>
      <c r="AX2" s="362"/>
      <c r="AZ2" s="362"/>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row>
    <row r="3" spans="1:105" s="379" customFormat="1" ht="17.25" customHeight="1" x14ac:dyDescent="0.25">
      <c r="A3" s="302"/>
      <c r="B3" s="302">
        <v>170</v>
      </c>
      <c r="C3" s="363" t="s">
        <v>518</v>
      </c>
      <c r="D3" s="28" t="s">
        <v>248</v>
      </c>
      <c r="E3" s="443"/>
      <c r="F3" s="444"/>
      <c r="G3" s="445"/>
      <c r="H3" s="446"/>
      <c r="I3" s="447"/>
      <c r="J3" s="447"/>
      <c r="K3" s="447"/>
      <c r="L3" s="447"/>
      <c r="M3" s="447"/>
      <c r="N3" s="447"/>
      <c r="O3" s="447"/>
      <c r="P3" s="446"/>
      <c r="Q3" s="447"/>
      <c r="R3" s="446"/>
      <c r="S3" s="447"/>
      <c r="T3" s="446"/>
      <c r="U3" s="447"/>
      <c r="V3" s="446"/>
      <c r="W3" s="445"/>
      <c r="X3" s="446"/>
      <c r="Y3" s="448"/>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369"/>
      <c r="BD3" s="370" t="s">
        <v>441</v>
      </c>
      <c r="BE3" s="454"/>
      <c r="BF3" s="377"/>
      <c r="BG3" s="455"/>
      <c r="BH3" s="455"/>
      <c r="BI3" s="500"/>
      <c r="BJ3" s="500"/>
      <c r="BK3" s="500"/>
      <c r="BL3" s="500"/>
      <c r="BM3" s="456"/>
      <c r="BN3" s="456"/>
      <c r="BO3" s="456"/>
      <c r="BP3" s="456"/>
      <c r="BQ3" s="500"/>
      <c r="BR3" s="500"/>
      <c r="BS3" s="456"/>
      <c r="BT3" s="456"/>
      <c r="BU3" s="456"/>
      <c r="BV3" s="456"/>
      <c r="BW3" s="456"/>
      <c r="BX3" s="456"/>
      <c r="BY3" s="457"/>
      <c r="BZ3" s="457"/>
      <c r="CA3" s="377"/>
      <c r="CB3" s="377"/>
      <c r="CC3" s="377"/>
      <c r="CD3" s="377"/>
      <c r="CE3" s="377"/>
      <c r="CF3" s="377"/>
      <c r="CG3" s="457"/>
      <c r="CH3" s="457"/>
      <c r="CI3" s="377"/>
      <c r="CJ3" s="377"/>
      <c r="CK3" s="377"/>
      <c r="CL3" s="377"/>
      <c r="CM3" s="377"/>
      <c r="CN3" s="377"/>
      <c r="CO3" s="377"/>
      <c r="CP3" s="377"/>
      <c r="CQ3" s="377"/>
      <c r="CR3" s="377"/>
      <c r="CS3" s="377"/>
      <c r="CT3" s="377"/>
      <c r="CU3" s="454"/>
      <c r="CV3" s="454"/>
      <c r="CW3" s="377"/>
      <c r="CX3" s="377"/>
      <c r="CY3" s="454"/>
      <c r="CZ3" s="454"/>
      <c r="DA3" s="454"/>
    </row>
    <row r="4" spans="1:105" ht="6" customHeight="1" x14ac:dyDescent="0.25">
      <c r="C4" s="501"/>
      <c r="D4" s="501"/>
      <c r="E4" s="417"/>
      <c r="F4" s="417"/>
      <c r="G4" s="417"/>
      <c r="H4" s="367"/>
      <c r="I4" s="367"/>
      <c r="J4" s="367"/>
      <c r="K4" s="367"/>
      <c r="L4" s="367"/>
      <c r="M4" s="367"/>
      <c r="N4" s="367"/>
      <c r="O4" s="367"/>
      <c r="P4" s="441"/>
      <c r="Q4" s="367"/>
      <c r="R4" s="441"/>
      <c r="S4" s="367"/>
      <c r="T4" s="441"/>
      <c r="U4" s="367"/>
      <c r="V4" s="441"/>
      <c r="W4" s="367"/>
      <c r="X4" s="362"/>
      <c r="Y4" s="367"/>
      <c r="Z4" s="362"/>
      <c r="AA4" s="367"/>
      <c r="AB4" s="362"/>
      <c r="AC4" s="367"/>
      <c r="AE4" s="367"/>
      <c r="AF4" s="362"/>
      <c r="AG4" s="367"/>
      <c r="AH4" s="362"/>
      <c r="AI4" s="367"/>
      <c r="AJ4" s="441"/>
      <c r="AK4" s="367"/>
      <c r="AL4" s="362"/>
      <c r="AM4" s="367"/>
      <c r="AN4" s="502"/>
      <c r="AO4" s="367"/>
      <c r="AP4" s="367"/>
      <c r="AQ4" s="367"/>
      <c r="AR4" s="367"/>
      <c r="AS4" s="367"/>
      <c r="AT4" s="362"/>
      <c r="AV4" s="367"/>
      <c r="AW4" s="367"/>
      <c r="AX4" s="362"/>
      <c r="AZ4" s="362"/>
      <c r="BD4" s="342"/>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row>
    <row r="5" spans="1:105" s="452" customFormat="1" ht="18" customHeight="1" x14ac:dyDescent="0.25">
      <c r="A5" s="451"/>
      <c r="B5" s="199">
        <v>7</v>
      </c>
      <c r="C5" s="802" t="s">
        <v>16</v>
      </c>
      <c r="D5" s="802"/>
      <c r="E5" s="864"/>
      <c r="F5" s="864"/>
      <c r="G5" s="864"/>
      <c r="H5" s="864"/>
      <c r="I5" s="804"/>
      <c r="J5" s="804"/>
      <c r="K5" s="804"/>
      <c r="L5" s="804"/>
      <c r="M5" s="804"/>
      <c r="N5" s="804"/>
      <c r="O5" s="804"/>
      <c r="P5" s="804"/>
      <c r="Q5" s="804"/>
      <c r="R5" s="804"/>
      <c r="S5" s="804"/>
      <c r="T5" s="804"/>
      <c r="U5" s="804"/>
      <c r="V5" s="804"/>
      <c r="W5" s="804"/>
      <c r="X5" s="864"/>
      <c r="Y5" s="804"/>
      <c r="Z5" s="864"/>
      <c r="AA5" s="804"/>
      <c r="AB5" s="864"/>
      <c r="AC5" s="804"/>
      <c r="AD5" s="864"/>
      <c r="AE5" s="804"/>
      <c r="AF5" s="864"/>
      <c r="AG5" s="804"/>
      <c r="AH5" s="864"/>
      <c r="AI5" s="804"/>
      <c r="AJ5" s="804"/>
      <c r="AK5" s="804"/>
      <c r="AL5" s="864"/>
      <c r="AM5" s="804"/>
      <c r="AN5" s="864"/>
      <c r="AO5" s="381"/>
      <c r="AP5" s="381"/>
      <c r="AQ5" s="381"/>
      <c r="AR5" s="381"/>
      <c r="AS5" s="381"/>
      <c r="AT5" s="382"/>
      <c r="AU5" s="381"/>
      <c r="AV5" s="381"/>
      <c r="AW5" s="381"/>
      <c r="AX5" s="382"/>
      <c r="AY5" s="381"/>
      <c r="AZ5" s="382"/>
      <c r="BA5" s="381"/>
      <c r="BB5" s="459"/>
      <c r="BC5" s="493"/>
      <c r="BD5" s="383" t="s">
        <v>442</v>
      </c>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row>
    <row r="6" spans="1:105" s="461" customFormat="1" ht="30.75" customHeight="1" x14ac:dyDescent="0.2">
      <c r="A6" s="460"/>
      <c r="B6" s="199"/>
      <c r="C6" s="452"/>
      <c r="D6" s="452"/>
      <c r="F6" s="682" t="s">
        <v>408</v>
      </c>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384"/>
      <c r="AK6" s="385"/>
      <c r="AL6" s="384"/>
      <c r="AM6" s="239"/>
      <c r="AN6" s="384"/>
      <c r="AO6" s="386"/>
      <c r="AP6" s="386"/>
      <c r="AQ6" s="386"/>
      <c r="AR6" s="386"/>
      <c r="AS6" s="386"/>
      <c r="AT6" s="343"/>
      <c r="AV6" s="386"/>
      <c r="AW6" s="386"/>
      <c r="AX6" s="343"/>
      <c r="AZ6" s="343"/>
      <c r="BA6" s="387"/>
      <c r="BB6" s="343"/>
      <c r="BC6" s="503"/>
      <c r="BD6" s="388" t="s">
        <v>437</v>
      </c>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3"/>
      <c r="CU6" s="493"/>
      <c r="CV6" s="493"/>
      <c r="CW6" s="493"/>
      <c r="CX6" s="493"/>
      <c r="CY6" s="493"/>
      <c r="CZ6" s="493"/>
      <c r="DA6" s="493"/>
    </row>
    <row r="7" spans="1:105" ht="22.5" customHeight="1" x14ac:dyDescent="0.2">
      <c r="B7" s="199">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D7" s="252" t="s">
        <v>201</v>
      </c>
      <c r="BE7" s="252" t="s">
        <v>202</v>
      </c>
      <c r="BF7" s="252" t="s">
        <v>203</v>
      </c>
      <c r="BG7" s="251">
        <v>1990</v>
      </c>
      <c r="BH7" s="251"/>
      <c r="BI7" s="252">
        <v>1995</v>
      </c>
      <c r="BJ7" s="666"/>
      <c r="BK7" s="666">
        <v>1996</v>
      </c>
      <c r="BL7" s="666"/>
      <c r="BM7" s="252">
        <v>1997</v>
      </c>
      <c r="BN7" s="252"/>
      <c r="BO7" s="252">
        <v>1998</v>
      </c>
      <c r="BP7" s="666"/>
      <c r="BQ7" s="666">
        <v>1999</v>
      </c>
      <c r="BR7" s="666"/>
      <c r="BS7" s="252">
        <v>2000</v>
      </c>
      <c r="BT7" s="252"/>
      <c r="BU7" s="252">
        <v>2001</v>
      </c>
      <c r="BV7" s="252"/>
      <c r="BW7" s="252">
        <v>2002</v>
      </c>
      <c r="BX7" s="252"/>
      <c r="BY7" s="252">
        <v>2003</v>
      </c>
      <c r="BZ7" s="252"/>
      <c r="CA7" s="252">
        <v>2004</v>
      </c>
      <c r="CB7" s="252"/>
      <c r="CC7" s="252">
        <v>2005</v>
      </c>
      <c r="CD7" s="252"/>
      <c r="CE7" s="252">
        <v>2006</v>
      </c>
      <c r="CF7" s="252"/>
      <c r="CG7" s="252">
        <v>2007</v>
      </c>
      <c r="CH7" s="252"/>
      <c r="CI7" s="252">
        <v>2008</v>
      </c>
      <c r="CJ7" s="252"/>
      <c r="CK7" s="252">
        <v>2009</v>
      </c>
      <c r="CL7" s="252"/>
      <c r="CM7" s="252">
        <v>2010</v>
      </c>
      <c r="CN7" s="252"/>
      <c r="CO7" s="252">
        <v>2011</v>
      </c>
      <c r="CP7" s="252"/>
      <c r="CQ7" s="252">
        <v>2012</v>
      </c>
      <c r="CR7" s="252"/>
      <c r="CS7" s="252">
        <v>2013</v>
      </c>
      <c r="CT7" s="252"/>
      <c r="CU7" s="252">
        <v>2014</v>
      </c>
      <c r="CV7" s="252"/>
      <c r="CW7" s="252">
        <v>2015</v>
      </c>
      <c r="CX7" s="252"/>
      <c r="CY7" s="252">
        <v>2016</v>
      </c>
      <c r="CZ7" s="252"/>
      <c r="DA7" s="252">
        <v>2017</v>
      </c>
    </row>
    <row r="8" spans="1:105" ht="18.95" customHeight="1" x14ac:dyDescent="0.2">
      <c r="B8" s="257">
        <v>84</v>
      </c>
      <c r="C8" s="398">
        <v>1</v>
      </c>
      <c r="D8" s="276" t="s">
        <v>499</v>
      </c>
      <c r="E8" s="394" t="s">
        <v>206</v>
      </c>
      <c r="F8" s="573"/>
      <c r="G8" s="594"/>
      <c r="H8" s="573"/>
      <c r="I8" s="594"/>
      <c r="J8" s="573"/>
      <c r="K8" s="594"/>
      <c r="L8" s="573"/>
      <c r="M8" s="594"/>
      <c r="N8" s="573"/>
      <c r="O8" s="594"/>
      <c r="P8" s="573"/>
      <c r="Q8" s="594"/>
      <c r="R8" s="573"/>
      <c r="S8" s="594"/>
      <c r="T8" s="573"/>
      <c r="U8" s="594"/>
      <c r="V8" s="573"/>
      <c r="W8" s="594"/>
      <c r="X8" s="573"/>
      <c r="Y8" s="594"/>
      <c r="Z8" s="573"/>
      <c r="AA8" s="594"/>
      <c r="AB8" s="573"/>
      <c r="AC8" s="594"/>
      <c r="AD8" s="573"/>
      <c r="AE8" s="594"/>
      <c r="AF8" s="573"/>
      <c r="AG8" s="594"/>
      <c r="AH8" s="573"/>
      <c r="AI8" s="594"/>
      <c r="AJ8" s="573"/>
      <c r="AK8" s="594"/>
      <c r="AL8" s="573"/>
      <c r="AM8" s="594"/>
      <c r="AN8" s="573"/>
      <c r="AO8" s="594"/>
      <c r="AP8" s="573"/>
      <c r="AQ8" s="594"/>
      <c r="AR8" s="692"/>
      <c r="AS8" s="594"/>
      <c r="AT8" s="573">
        <f>AT11+AT16+AT21</f>
        <v>2848.5556068722917</v>
      </c>
      <c r="AU8" s="594" t="s">
        <v>21</v>
      </c>
      <c r="AV8" s="573">
        <f>AV11+AV16+AV21</f>
        <v>2896.4710037587656</v>
      </c>
      <c r="AW8" s="594" t="s">
        <v>21</v>
      </c>
      <c r="AX8" s="573">
        <f>AX11+AX16+AX21</f>
        <v>2764.0334730202317</v>
      </c>
      <c r="AY8" s="594" t="s">
        <v>21</v>
      </c>
      <c r="AZ8" s="573"/>
      <c r="BA8" s="594"/>
      <c r="BD8" s="402">
        <v>1</v>
      </c>
      <c r="BE8" s="504" t="s">
        <v>469</v>
      </c>
      <c r="BF8" s="81" t="s">
        <v>609</v>
      </c>
      <c r="BG8" s="505" t="s">
        <v>466</v>
      </c>
      <c r="BH8" s="117"/>
      <c r="BI8" s="98" t="str">
        <f>IF(OR(ISBLANK(F8),ISBLANK(H8)),"N/A",IF(ABS((H8-F8)/F8)&gt;1,"&gt; 100%","ok"))</f>
        <v>N/A</v>
      </c>
      <c r="BJ8" s="98"/>
      <c r="BK8" s="98" t="str">
        <f t="shared" ref="BK8:BK27" si="0">IF(OR(ISBLANK(H8),ISBLANK(J8)),"N/A",IF(ABS((J8-H8)/H8)&gt;0.25,"&gt; 25%","ok"))</f>
        <v>N/A</v>
      </c>
      <c r="BL8" s="98"/>
      <c r="BM8" s="98" t="str">
        <f t="shared" ref="BM8:BM27" si="1">IF(OR(ISBLANK(J8),ISBLANK(L8)),"N/A",IF(ABS((L8-J8)/J8)&gt;0.25,"&gt; 25%","ok"))</f>
        <v>N/A</v>
      </c>
      <c r="BN8" s="98"/>
      <c r="BO8" s="98" t="str">
        <f t="shared" ref="BO8:BO27" si="2">IF(OR(ISBLANK(L8),ISBLANK(N8)),"N/A",IF(ABS((N8-L8)/L8)&gt;0.25,"&gt; 25%","ok"))</f>
        <v>N/A</v>
      </c>
      <c r="BP8" s="98"/>
      <c r="BQ8" s="98" t="str">
        <f t="shared" ref="BQ8:BQ26" si="3">IF(OR(ISBLANK(N8),ISBLANK(P8)),"N/A",IF(ABS((P8-N8)/N8)&gt;0.25,"&gt; 25%","ok"))</f>
        <v>N/A</v>
      </c>
      <c r="BR8" s="98"/>
      <c r="BS8" s="98" t="str">
        <f>IF(OR(ISBLANK(P8),ISBLANK(R8)),"N/A",IF(ABS((R8-P8)/P8)&gt;0.25,"&gt; 25%","ok"))</f>
        <v>N/A</v>
      </c>
      <c r="BT8" s="98"/>
      <c r="BU8" s="98" t="str">
        <f>IF(OR(ISBLANK(R8),ISBLANK(T8)),"N/A",IF(ABS((T8-R8)/R8)&gt;0.25,"&gt; 25%","ok"))</f>
        <v>N/A</v>
      </c>
      <c r="BV8" s="98"/>
      <c r="BW8" s="98" t="str">
        <f>IF(OR(ISBLANK(T8),ISBLANK(V8)),"N/A",IF(ABS((V8-T8)/T8)&gt;0.25,"&gt; 25%","ok"))</f>
        <v>N/A</v>
      </c>
      <c r="BX8" s="98"/>
      <c r="BY8" s="98" t="str">
        <f>IF(OR(ISBLANK(V8),ISBLANK(X8)),"N/A",IF(ABS((X8-V8)/V8)&gt;0.25,"&gt; 25%","ok"))</f>
        <v>N/A</v>
      </c>
      <c r="BZ8" s="98"/>
      <c r="CA8" s="98" t="str">
        <f>IF(OR(ISBLANK(X8),ISBLANK(Z8)),"N/A",IF(ABS((Z8-X8)/X8)&gt;0.25,"&gt; 25%","ok"))</f>
        <v>N/A</v>
      </c>
      <c r="CB8" s="98"/>
      <c r="CC8" s="98" t="str">
        <f>IF(OR(ISBLANK(Z8),ISBLANK(AB8)),"N/A",IF(ABS((AB8-Z8)/Z8)&gt;0.25,"&gt; 25%","ok"))</f>
        <v>N/A</v>
      </c>
      <c r="CD8" s="98"/>
      <c r="CE8" s="98" t="str">
        <f>IF(OR(ISBLANK(AB8),ISBLANK(AD8)),"N/A",IF(ABS((AD8-AB8)/AB8)&gt;0.25,"&gt; 25%","ok"))</f>
        <v>N/A</v>
      </c>
      <c r="CF8" s="98"/>
      <c r="CG8" s="98" t="str">
        <f>IF(OR(ISBLANK(AD8),ISBLANK(AF8)),"N/A",IF(ABS((AF8-AD8)/AD8)&gt;0.25,"&gt; 25%","ok"))</f>
        <v>N/A</v>
      </c>
      <c r="CH8" s="98"/>
      <c r="CI8" s="98" t="str">
        <f>IF(OR(ISBLANK(AF8),ISBLANK(AH8)),"N/A",IF(ABS((AH8-AF8)/AF8)&gt;0.25,"&gt; 25%","ok"))</f>
        <v>N/A</v>
      </c>
      <c r="CJ8" s="98"/>
      <c r="CK8" s="98" t="str">
        <f>IF(OR(ISBLANK(AH8),ISBLANK(AJ8)),"N/A",IF(ABS((AJ8-AH8)/AH8)&gt;0.25,"&gt; 25%","ok"))</f>
        <v>N/A</v>
      </c>
      <c r="CL8" s="98"/>
      <c r="CM8" s="98" t="str">
        <f>IF(OR(ISBLANK(AJ8),ISBLANK(AL8)),"N/A",IF(ABS((AL8-AJ8)/AJ8)&gt;0.25,"&gt; 25%","ok"))</f>
        <v>N/A</v>
      </c>
      <c r="CN8" s="98"/>
      <c r="CO8" s="98" t="str">
        <f>IF(OR(ISBLANK(AL8),ISBLANK(AN8)),"N/A",IF(ABS((AN8-AL8)/AL8)&gt;0.25,"&gt; 25%","ok"))</f>
        <v>N/A</v>
      </c>
      <c r="CP8" s="98"/>
      <c r="CQ8" s="98" t="str">
        <f>IF(OR(ISBLANK(AN8),ISBLANK(AP8)),"N/A",IF(ABS((AP8-AN8)/AN8)&gt;0.25,"&gt; 25%","ok"))</f>
        <v>N/A</v>
      </c>
      <c r="CR8" s="98"/>
      <c r="CS8" s="98" t="str">
        <f>IF(OR(ISBLANK(AP8),ISBLANK(AR8)),"N/A",IF(ABS((AR8-AP8)/AP8)&gt;0.25,"&gt; 25%","ok"))</f>
        <v>N/A</v>
      </c>
      <c r="CT8" s="98"/>
      <c r="CU8" s="98" t="str">
        <f>IF(OR(ISBLANK(AR8),ISBLANK(AT8)),"N/A",IF(ABS((AT8-AR8)/AR8)&gt;0.25,"&gt; 25%","ok"))</f>
        <v>N/A</v>
      </c>
      <c r="CV8" s="98"/>
      <c r="CW8" s="98" t="str">
        <f>IF(OR(ISBLANK(AT8),ISBLANK(AV8)),"N/A",IF(ABS((AV8-AT8)/AT8)&gt;0.25,"&gt; 25%","ok"))</f>
        <v>ok</v>
      </c>
      <c r="CX8" s="98"/>
      <c r="CY8" s="98" t="str">
        <f>IF(OR(ISBLANK(AV8),ISBLANK(AX8)),"N/A",IF(ABS((AX8-AV8)/AV8)&gt;0.25,"&gt; 25%","ok"))</f>
        <v>ok</v>
      </c>
      <c r="CZ8" s="98"/>
      <c r="DA8" s="98" t="str">
        <f>IF(OR(ISBLANK(AX8),ISBLANK(AZ8)),"N/A",IF(ABS((AZ8-AX8)/AX8)&gt;0.25,"&gt; 25%","ok"))</f>
        <v>N/A</v>
      </c>
    </row>
    <row r="9" spans="1:105" ht="32.25" customHeight="1" x14ac:dyDescent="0.2">
      <c r="B9" s="506">
        <v>85</v>
      </c>
      <c r="C9" s="394">
        <v>2</v>
      </c>
      <c r="D9" s="507" t="s">
        <v>675</v>
      </c>
      <c r="E9" s="394" t="s">
        <v>206</v>
      </c>
      <c r="F9" s="573"/>
      <c r="G9" s="594"/>
      <c r="H9" s="573"/>
      <c r="I9" s="594"/>
      <c r="J9" s="573"/>
      <c r="K9" s="594"/>
      <c r="L9" s="573"/>
      <c r="M9" s="594"/>
      <c r="N9" s="573"/>
      <c r="O9" s="594"/>
      <c r="P9" s="573"/>
      <c r="Q9" s="594"/>
      <c r="R9" s="573"/>
      <c r="S9" s="594"/>
      <c r="T9" s="573"/>
      <c r="U9" s="594"/>
      <c r="V9" s="573"/>
      <c r="W9" s="594"/>
      <c r="X9" s="573"/>
      <c r="Y9" s="594"/>
      <c r="Z9" s="573"/>
      <c r="AA9" s="594"/>
      <c r="AB9" s="573"/>
      <c r="AC9" s="594"/>
      <c r="AD9" s="573"/>
      <c r="AE9" s="594"/>
      <c r="AF9" s="573"/>
      <c r="AG9" s="594"/>
      <c r="AH9" s="573"/>
      <c r="AI9" s="594"/>
      <c r="AJ9" s="573"/>
      <c r="AK9" s="594"/>
      <c r="AL9" s="573"/>
      <c r="AM9" s="594"/>
      <c r="AN9" s="573"/>
      <c r="AO9" s="594"/>
      <c r="AP9" s="573"/>
      <c r="AQ9" s="594"/>
      <c r="AR9" s="692"/>
      <c r="AS9" s="594"/>
      <c r="AT9" s="573"/>
      <c r="AU9" s="594"/>
      <c r="AV9" s="573"/>
      <c r="AW9" s="594"/>
      <c r="AX9" s="573"/>
      <c r="AY9" s="594"/>
      <c r="AZ9" s="573"/>
      <c r="BA9" s="594"/>
      <c r="BD9" s="81">
        <v>2</v>
      </c>
      <c r="BE9" s="471" t="s">
        <v>610</v>
      </c>
      <c r="BF9" s="81" t="s">
        <v>609</v>
      </c>
      <c r="BG9" s="117" t="s">
        <v>466</v>
      </c>
      <c r="BH9" s="116"/>
      <c r="BI9" s="98" t="str">
        <f>IF(OR(ISBLANK(F9),ISBLANK(H9)),"N/A",IF(ABS((H9-F9)/F9)&gt;1,"&gt; 100%","ok"))</f>
        <v>N/A</v>
      </c>
      <c r="BJ9" s="115"/>
      <c r="BK9" s="98" t="str">
        <f>IF(OR(ISBLANK(H9),ISBLANK(J9)),"N/A",IF(ABS((J9-H9)/H9)&gt;0.25,"&gt; 25%","ok"))</f>
        <v>N/A</v>
      </c>
      <c r="BL9" s="116"/>
      <c r="BM9" s="98" t="str">
        <f t="shared" si="1"/>
        <v>N/A</v>
      </c>
      <c r="BN9" s="116"/>
      <c r="BO9" s="98" t="str">
        <f t="shared" si="2"/>
        <v>N/A</v>
      </c>
      <c r="BP9" s="116"/>
      <c r="BQ9" s="98" t="str">
        <f t="shared" si="3"/>
        <v>N/A</v>
      </c>
      <c r="BR9" s="116"/>
      <c r="BS9" s="98" t="str">
        <f t="shared" ref="BS9:BS17" si="4">IF(OR(ISBLANK(P9),ISBLANK(R9)),"N/A",IF(ABS((R9-P9)/P9)&gt;0.25,"&gt; 25%","ok"))</f>
        <v>N/A</v>
      </c>
      <c r="BT9" s="116"/>
      <c r="BU9" s="98" t="str">
        <f t="shared" ref="BU9:BU17" si="5">IF(OR(ISBLANK(R9),ISBLANK(T9)),"N/A",IF(ABS((T9-R9)/R9)&gt;0.25,"&gt; 25%","ok"))</f>
        <v>N/A</v>
      </c>
      <c r="BV9" s="115"/>
      <c r="BW9" s="98" t="str">
        <f t="shared" ref="BW9:BW17" si="6">IF(OR(ISBLANK(T9),ISBLANK(V9)),"N/A",IF(ABS((V9-T9)/T9)&gt;0.25,"&gt; 25%","ok"))</f>
        <v>N/A</v>
      </c>
      <c r="BX9" s="81"/>
      <c r="BY9" s="98" t="str">
        <f t="shared" ref="BY9:BY17" si="7">IF(OR(ISBLANK(V9),ISBLANK(X9)),"N/A",IF(ABS((X9-V9)/V9)&gt;0.25,"&gt; 25%","ok"))</f>
        <v>N/A</v>
      </c>
      <c r="BZ9" s="117"/>
      <c r="CA9" s="98" t="str">
        <f t="shared" ref="CA9:CA17" si="8">IF(OR(ISBLANK(X9),ISBLANK(Z9)),"N/A",IF(ABS((Z9-X9)/X9)&gt;0.25,"&gt; 25%","ok"))</f>
        <v>N/A</v>
      </c>
      <c r="CB9" s="115"/>
      <c r="CC9" s="98" t="str">
        <f t="shared" ref="CC9:CC17" si="9">IF(OR(ISBLANK(Z9),ISBLANK(AB9)),"N/A",IF(ABS((AB9-Z9)/Z9)&gt;0.25,"&gt; 25%","ok"))</f>
        <v>N/A</v>
      </c>
      <c r="CD9" s="81"/>
      <c r="CE9" s="98" t="str">
        <f t="shared" ref="CE9:CE17" si="10">IF(OR(ISBLANK(AB9),ISBLANK(AD9)),"N/A",IF(ABS((AD9-AB9)/AB9)&gt;0.25,"&gt; 25%","ok"))</f>
        <v>N/A</v>
      </c>
      <c r="CF9" s="116"/>
      <c r="CG9" s="98" t="str">
        <f t="shared" ref="CG9:CG17" si="11">IF(OR(ISBLANK(AD9),ISBLANK(AF9)),"N/A",IF(ABS((AF9-AD9)/AD9)&gt;0.25,"&gt; 25%","ok"))</f>
        <v>N/A</v>
      </c>
      <c r="CH9" s="115"/>
      <c r="CI9" s="98" t="str">
        <f t="shared" ref="CI9:CI17" si="12">IF(OR(ISBLANK(AF9),ISBLANK(AH9)),"N/A",IF(ABS((AH9-AF9)/AF9)&gt;0.25,"&gt; 25%","ok"))</f>
        <v>N/A</v>
      </c>
      <c r="CJ9" s="117"/>
      <c r="CK9" s="98" t="str">
        <f t="shared" ref="CK9:CK17" si="13">IF(OR(ISBLANK(AH9),ISBLANK(AJ9)),"N/A",IF(ABS((AJ9-AH9)/AH9)&gt;0.25,"&gt; 25%","ok"))</f>
        <v>N/A</v>
      </c>
      <c r="CL9" s="115"/>
      <c r="CM9" s="98" t="str">
        <f t="shared" ref="CM9:CM17" si="14">IF(OR(ISBLANK(AJ9),ISBLANK(AL9)),"N/A",IF(ABS((AL9-AJ9)/AJ9)&gt;0.25,"&gt; 25%","ok"))</f>
        <v>N/A</v>
      </c>
      <c r="CN9" s="81"/>
      <c r="CO9" s="98" t="str">
        <f t="shared" ref="CO9:CO17" si="15">IF(OR(ISBLANK(AL9),ISBLANK(AN9)),"N/A",IF(ABS((AN9-AL9)/AL9)&gt;0.25,"&gt; 25%","ok"))</f>
        <v>N/A</v>
      </c>
      <c r="CP9" s="81"/>
      <c r="CQ9" s="98" t="str">
        <f t="shared" ref="CQ9:CQ17" si="16">IF(OR(ISBLANK(AN9),ISBLANK(AP9)),"N/A",IF(ABS((AP9-AN9)/AN9)&gt;0.25,"&gt; 25%","ok"))</f>
        <v>N/A</v>
      </c>
      <c r="CR9" s="81"/>
      <c r="CS9" s="98" t="str">
        <f t="shared" ref="CS9:CS17" si="17">IF(OR(ISBLANK(AP9),ISBLANK(AR9)),"N/A",IF(ABS((AR9-AP9)/AP9)&gt;0.25,"&gt; 25%","ok"))</f>
        <v>N/A</v>
      </c>
      <c r="CT9" s="117"/>
      <c r="CU9" s="98" t="str">
        <f t="shared" ref="CU9:CU17" si="18">IF(OR(ISBLANK(AR9),ISBLANK(AT9)),"N/A",IF(ABS((AT9-AR9)/AR9)&gt;0.25,"&gt; 25%","ok"))</f>
        <v>N/A</v>
      </c>
      <c r="CV9" s="81"/>
      <c r="CW9" s="98" t="str">
        <f t="shared" ref="CW9:CW17" si="19">IF(OR(ISBLANK(AT9),ISBLANK(AV9)),"N/A",IF(ABS((AV9-AT9)/AT9)&gt;0.25,"&gt; 25%","ok"))</f>
        <v>N/A</v>
      </c>
      <c r="CX9" s="117"/>
      <c r="CY9" s="98" t="str">
        <f t="shared" ref="CY9:CY17" si="20">IF(OR(ISBLANK(AV9),ISBLANK(AX9)),"N/A",IF(ABS((AX9-AV9)/AV9)&gt;0.25,"&gt; 25%","ok"))</f>
        <v>N/A</v>
      </c>
      <c r="CZ9" s="81"/>
      <c r="DA9" s="98" t="str">
        <f t="shared" ref="DA9:DA27" si="21">IF(OR(ISBLANK(AX9),ISBLANK(AZ9)),"N/A",IF(ABS((AZ9-AX9)/AX9)&gt;0.25,"&gt; 25%","ok"))</f>
        <v>N/A</v>
      </c>
    </row>
    <row r="10" spans="1:105" ht="32.25" customHeight="1" x14ac:dyDescent="0.2">
      <c r="B10" s="510">
        <v>140</v>
      </c>
      <c r="C10" s="394">
        <v>3</v>
      </c>
      <c r="D10" s="274" t="s">
        <v>676</v>
      </c>
      <c r="E10" s="394" t="s">
        <v>206</v>
      </c>
      <c r="F10" s="573"/>
      <c r="G10" s="594"/>
      <c r="H10" s="573"/>
      <c r="I10" s="594"/>
      <c r="J10" s="573"/>
      <c r="K10" s="594"/>
      <c r="L10" s="573"/>
      <c r="M10" s="594"/>
      <c r="N10" s="573"/>
      <c r="O10" s="594"/>
      <c r="P10" s="573"/>
      <c r="Q10" s="594"/>
      <c r="R10" s="573"/>
      <c r="S10" s="594"/>
      <c r="T10" s="573"/>
      <c r="U10" s="594"/>
      <c r="V10" s="573"/>
      <c r="W10" s="594"/>
      <c r="X10" s="573"/>
      <c r="Y10" s="594"/>
      <c r="Z10" s="573"/>
      <c r="AA10" s="594"/>
      <c r="AB10" s="573"/>
      <c r="AC10" s="594"/>
      <c r="AD10" s="573"/>
      <c r="AE10" s="594"/>
      <c r="AF10" s="573"/>
      <c r="AG10" s="594"/>
      <c r="AH10" s="573"/>
      <c r="AI10" s="594"/>
      <c r="AJ10" s="573"/>
      <c r="AK10" s="594"/>
      <c r="AL10" s="573"/>
      <c r="AM10" s="594"/>
      <c r="AN10" s="573"/>
      <c r="AO10" s="594"/>
      <c r="AP10" s="573"/>
      <c r="AQ10" s="594"/>
      <c r="AR10" s="692"/>
      <c r="AS10" s="594"/>
      <c r="AT10" s="573"/>
      <c r="AU10" s="594"/>
      <c r="AV10" s="573"/>
      <c r="AW10" s="594"/>
      <c r="AX10" s="573"/>
      <c r="AY10" s="594"/>
      <c r="AZ10" s="573"/>
      <c r="BA10" s="594"/>
      <c r="BD10" s="81">
        <v>3</v>
      </c>
      <c r="BE10" s="471" t="s">
        <v>584</v>
      </c>
      <c r="BF10" s="81" t="s">
        <v>609</v>
      </c>
      <c r="BG10" s="117"/>
      <c r="BH10" s="116"/>
      <c r="BI10" s="98" t="str">
        <f>IF(OR(ISBLANK(F10),ISBLANK(H10)),"N/A",IF(ABS((H10-F10)/F10)&gt;1,"&gt; 100%","ok"))</f>
        <v>N/A</v>
      </c>
      <c r="BJ10" s="115"/>
      <c r="BK10" s="98" t="str">
        <f>IF(OR(ISBLANK(H10),ISBLANK(J10)),"N/A",IF(ABS((J10-H10)/H10)&gt;0.25,"&gt; 25%","ok"))</f>
        <v>N/A</v>
      </c>
      <c r="BL10" s="116"/>
      <c r="BM10" s="98" t="str">
        <f>IF(OR(ISBLANK(J10),ISBLANK(L10)),"N/A",IF(ABS((L10-J10)/J10)&gt;0.25,"&gt; 25%","ok"))</f>
        <v>N/A</v>
      </c>
      <c r="BN10" s="116"/>
      <c r="BO10" s="98" t="str">
        <f>IF(OR(ISBLANK(L10),ISBLANK(N10)),"N/A",IF(ABS((N10-L10)/L10)&gt;0.25,"&gt; 25%","ok"))</f>
        <v>N/A</v>
      </c>
      <c r="BP10" s="116"/>
      <c r="BQ10" s="98" t="str">
        <f>IF(OR(ISBLANK(N10),ISBLANK(P10)),"N/A",IF(ABS((P10-N10)/N10)&gt;0.25,"&gt; 25%","ok"))</f>
        <v>N/A</v>
      </c>
      <c r="BR10" s="116"/>
      <c r="BS10" s="98" t="str">
        <f>IF(OR(ISBLANK(P10),ISBLANK(R10)),"N/A",IF(ABS((R10-P10)/P10)&gt;0.25,"&gt; 25%","ok"))</f>
        <v>N/A</v>
      </c>
      <c r="BT10" s="116"/>
      <c r="BU10" s="98" t="str">
        <f>IF(OR(ISBLANK(R10),ISBLANK(T10)),"N/A",IF(ABS((T10-R10)/R10)&gt;0.25,"&gt; 25%","ok"))</f>
        <v>N/A</v>
      </c>
      <c r="BV10" s="115"/>
      <c r="BW10" s="98" t="str">
        <f>IF(OR(ISBLANK(T10),ISBLANK(V10)),"N/A",IF(ABS((V10-T10)/T10)&gt;0.25,"&gt; 25%","ok"))</f>
        <v>N/A</v>
      </c>
      <c r="BX10" s="81"/>
      <c r="BY10" s="98" t="str">
        <f>IF(OR(ISBLANK(V10),ISBLANK(X10)),"N/A",IF(ABS((X10-V10)/V10)&gt;0.25,"&gt; 25%","ok"))</f>
        <v>N/A</v>
      </c>
      <c r="BZ10" s="117"/>
      <c r="CA10" s="98" t="str">
        <f>IF(OR(ISBLANK(X10),ISBLANK(Z10)),"N/A",IF(ABS((Z10-X10)/X10)&gt;0.25,"&gt; 25%","ok"))</f>
        <v>N/A</v>
      </c>
      <c r="CB10" s="115"/>
      <c r="CC10" s="98" t="str">
        <f>IF(OR(ISBLANK(Z10),ISBLANK(AB10)),"N/A",IF(ABS((AB10-Z10)/Z10)&gt;0.25,"&gt; 25%","ok"))</f>
        <v>N/A</v>
      </c>
      <c r="CD10" s="81"/>
      <c r="CE10" s="98" t="str">
        <f>IF(OR(ISBLANK(AB10),ISBLANK(AD10)),"N/A",IF(ABS((AD10-AB10)/AB10)&gt;0.25,"&gt; 25%","ok"))</f>
        <v>N/A</v>
      </c>
      <c r="CF10" s="116"/>
      <c r="CG10" s="98" t="str">
        <f>IF(OR(ISBLANK(AD10),ISBLANK(AF10)),"N/A",IF(ABS((AF10-AD10)/AD10)&gt;0.25,"&gt; 25%","ok"))</f>
        <v>N/A</v>
      </c>
      <c r="CH10" s="115"/>
      <c r="CI10" s="98" t="str">
        <f>IF(OR(ISBLANK(AF10),ISBLANK(AH10)),"N/A",IF(ABS((AH10-AF10)/AF10)&gt;0.25,"&gt; 25%","ok"))</f>
        <v>N/A</v>
      </c>
      <c r="CJ10" s="117"/>
      <c r="CK10" s="98" t="str">
        <f>IF(OR(ISBLANK(AH10),ISBLANK(AJ10)),"N/A",IF(ABS((AJ10-AH10)/AH10)&gt;0.25,"&gt; 25%","ok"))</f>
        <v>N/A</v>
      </c>
      <c r="CL10" s="115"/>
      <c r="CM10" s="98" t="str">
        <f>IF(OR(ISBLANK(AJ10),ISBLANK(AL10)),"N/A",IF(ABS((AL10-AJ10)/AJ10)&gt;0.25,"&gt; 25%","ok"))</f>
        <v>N/A</v>
      </c>
      <c r="CN10" s="81"/>
      <c r="CO10" s="98" t="str">
        <f>IF(OR(ISBLANK(AL10),ISBLANK(AN10)),"N/A",IF(ABS((AN10-AL10)/AL10)&gt;0.25,"&gt; 25%","ok"))</f>
        <v>N/A</v>
      </c>
      <c r="CP10" s="81"/>
      <c r="CQ10" s="98" t="str">
        <f>IF(OR(ISBLANK(AN10),ISBLANK(AP10)),"N/A",IF(ABS((AP10-AN10)/AN10)&gt;0.25,"&gt; 25%","ok"))</f>
        <v>N/A</v>
      </c>
      <c r="CR10" s="81"/>
      <c r="CS10" s="98" t="str">
        <f>IF(OR(ISBLANK(AP10),ISBLANK(AR10)),"N/A",IF(ABS((AR10-AP10)/AP10)&gt;0.25,"&gt; 25%","ok"))</f>
        <v>N/A</v>
      </c>
      <c r="CT10" s="117"/>
      <c r="CU10" s="98" t="str">
        <f>IF(OR(ISBLANK(AR10),ISBLANK(AT10)),"N/A",IF(ABS((AT10-AR10)/AR10)&gt;0.25,"&gt; 25%","ok"))</f>
        <v>N/A</v>
      </c>
      <c r="CV10" s="81"/>
      <c r="CW10" s="98" t="str">
        <f>IF(OR(ISBLANK(AT10),ISBLANK(AV10)),"N/A",IF(ABS((AV10-AT10)/AT10)&gt;0.25,"&gt; 25%","ok"))</f>
        <v>N/A</v>
      </c>
      <c r="CX10" s="117"/>
      <c r="CY10" s="98" t="str">
        <f>IF(OR(ISBLANK(AV10),ISBLANK(AX10)),"N/A",IF(ABS((AX10-AV10)/AV10)&gt;0.25,"&gt; 25%","ok"))</f>
        <v>N/A</v>
      </c>
      <c r="CZ10" s="81"/>
      <c r="DA10" s="98" t="str">
        <f>IF(OR(ISBLANK(AX10),ISBLANK(AZ10)),"N/A",IF(ABS((AZ10-AX10)/AX10)&gt;0.25,"&gt; 25%","ok"))</f>
        <v>N/A</v>
      </c>
    </row>
    <row r="11" spans="1:105" ht="18.95" customHeight="1" x14ac:dyDescent="0.2">
      <c r="B11" s="257">
        <v>155</v>
      </c>
      <c r="C11" s="394">
        <v>4</v>
      </c>
      <c r="D11" s="274" t="s">
        <v>58</v>
      </c>
      <c r="E11" s="394" t="s">
        <v>206</v>
      </c>
      <c r="F11" s="573"/>
      <c r="G11" s="594"/>
      <c r="H11" s="573"/>
      <c r="I11" s="594"/>
      <c r="J11" s="573"/>
      <c r="K11" s="594"/>
      <c r="L11" s="573"/>
      <c r="M11" s="594"/>
      <c r="N11" s="573"/>
      <c r="O11" s="594"/>
      <c r="P11" s="573"/>
      <c r="Q11" s="594"/>
      <c r="R11" s="573"/>
      <c r="S11" s="594"/>
      <c r="T11" s="573"/>
      <c r="U11" s="594"/>
      <c r="V11" s="573"/>
      <c r="W11" s="594"/>
      <c r="X11" s="573"/>
      <c r="Y11" s="594"/>
      <c r="Z11" s="573"/>
      <c r="AA11" s="594"/>
      <c r="AB11" s="573"/>
      <c r="AC11" s="594"/>
      <c r="AD11" s="573"/>
      <c r="AE11" s="594"/>
      <c r="AF11" s="573"/>
      <c r="AG11" s="594"/>
      <c r="AH11" s="573"/>
      <c r="AI11" s="594"/>
      <c r="AJ11" s="573"/>
      <c r="AK11" s="594"/>
      <c r="AL11" s="573"/>
      <c r="AM11" s="594"/>
      <c r="AN11" s="573"/>
      <c r="AO11" s="594"/>
      <c r="AP11" s="573"/>
      <c r="AQ11" s="594"/>
      <c r="AR11" s="692"/>
      <c r="AS11" s="594"/>
      <c r="AT11" s="573">
        <f>SUM([1]OFERTA_2014!$K$31:$AH$31)</f>
        <v>284.36198913349727</v>
      </c>
      <c r="AU11" s="594" t="s">
        <v>681</v>
      </c>
      <c r="AV11" s="573">
        <f>SUM([1]OFERTA_2015!$K$31:$AH$31)</f>
        <v>284.19795589094076</v>
      </c>
      <c r="AW11" s="594" t="s">
        <v>681</v>
      </c>
      <c r="AX11" s="573">
        <f>SUM([1]OFERTA_2016p!$K$31:$AH$31)</f>
        <v>285.37109587843378</v>
      </c>
      <c r="AY11" s="594" t="s">
        <v>681</v>
      </c>
      <c r="AZ11" s="573"/>
      <c r="BA11" s="594"/>
      <c r="BD11" s="81">
        <v>4</v>
      </c>
      <c r="BE11" s="471" t="s">
        <v>373</v>
      </c>
      <c r="BF11" s="81" t="s">
        <v>609</v>
      </c>
      <c r="BG11" s="117" t="s">
        <v>466</v>
      </c>
      <c r="BH11" s="116"/>
      <c r="BI11" s="98" t="str">
        <f t="shared" ref="BI11:BI27" si="22">IF(OR(ISBLANK(F11),ISBLANK(H11)),"N/A",IF(ABS((H11-F11)/F11)&gt;1,"&gt; 100%","ok"))</f>
        <v>N/A</v>
      </c>
      <c r="BJ11" s="115"/>
      <c r="BK11" s="98" t="str">
        <f t="shared" si="0"/>
        <v>N/A</v>
      </c>
      <c r="BL11" s="116"/>
      <c r="BM11" s="98" t="str">
        <f t="shared" si="1"/>
        <v>N/A</v>
      </c>
      <c r="BN11" s="116"/>
      <c r="BO11" s="98" t="str">
        <f t="shared" si="2"/>
        <v>N/A</v>
      </c>
      <c r="BP11" s="116"/>
      <c r="BQ11" s="98" t="str">
        <f t="shared" si="3"/>
        <v>N/A</v>
      </c>
      <c r="BR11" s="116"/>
      <c r="BS11" s="98" t="str">
        <f t="shared" si="4"/>
        <v>N/A</v>
      </c>
      <c r="BT11" s="116"/>
      <c r="BU11" s="98" t="str">
        <f t="shared" si="5"/>
        <v>N/A</v>
      </c>
      <c r="BV11" s="115"/>
      <c r="BW11" s="98" t="str">
        <f t="shared" si="6"/>
        <v>N/A</v>
      </c>
      <c r="BX11" s="81"/>
      <c r="BY11" s="98" t="str">
        <f t="shared" si="7"/>
        <v>N/A</v>
      </c>
      <c r="BZ11" s="117"/>
      <c r="CA11" s="98" t="str">
        <f t="shared" si="8"/>
        <v>N/A</v>
      </c>
      <c r="CB11" s="115"/>
      <c r="CC11" s="98" t="str">
        <f t="shared" si="9"/>
        <v>N/A</v>
      </c>
      <c r="CD11" s="81"/>
      <c r="CE11" s="98" t="str">
        <f t="shared" si="10"/>
        <v>N/A</v>
      </c>
      <c r="CF11" s="116"/>
      <c r="CG11" s="98" t="str">
        <f t="shared" si="11"/>
        <v>N/A</v>
      </c>
      <c r="CH11" s="115"/>
      <c r="CI11" s="98" t="str">
        <f t="shared" si="12"/>
        <v>N/A</v>
      </c>
      <c r="CJ11" s="117"/>
      <c r="CK11" s="98" t="str">
        <f t="shared" si="13"/>
        <v>N/A</v>
      </c>
      <c r="CL11" s="115"/>
      <c r="CM11" s="98" t="str">
        <f t="shared" si="14"/>
        <v>N/A</v>
      </c>
      <c r="CN11" s="81"/>
      <c r="CO11" s="98" t="str">
        <f t="shared" si="15"/>
        <v>N/A</v>
      </c>
      <c r="CP11" s="81"/>
      <c r="CQ11" s="98" t="str">
        <f t="shared" si="16"/>
        <v>N/A</v>
      </c>
      <c r="CR11" s="81"/>
      <c r="CS11" s="98" t="str">
        <f t="shared" si="17"/>
        <v>N/A</v>
      </c>
      <c r="CT11" s="117"/>
      <c r="CU11" s="98" t="str">
        <f t="shared" si="18"/>
        <v>N/A</v>
      </c>
      <c r="CV11" s="81"/>
      <c r="CW11" s="98" t="str">
        <f t="shared" si="19"/>
        <v>ok</v>
      </c>
      <c r="CX11" s="117"/>
      <c r="CY11" s="98" t="str">
        <f t="shared" si="20"/>
        <v>ok</v>
      </c>
      <c r="CZ11" s="81"/>
      <c r="DA11" s="98" t="str">
        <f t="shared" si="21"/>
        <v>N/A</v>
      </c>
    </row>
    <row r="12" spans="1:105" ht="22.15" customHeight="1" x14ac:dyDescent="0.2">
      <c r="B12" s="257">
        <v>142</v>
      </c>
      <c r="C12" s="394">
        <v>5</v>
      </c>
      <c r="D12" s="685" t="s">
        <v>677</v>
      </c>
      <c r="E12" s="394" t="s">
        <v>206</v>
      </c>
      <c r="F12" s="573"/>
      <c r="G12" s="594"/>
      <c r="H12" s="573"/>
      <c r="I12" s="594"/>
      <c r="J12" s="573"/>
      <c r="K12" s="594"/>
      <c r="L12" s="573"/>
      <c r="M12" s="594"/>
      <c r="N12" s="573"/>
      <c r="O12" s="594"/>
      <c r="P12" s="573"/>
      <c r="Q12" s="594"/>
      <c r="R12" s="573"/>
      <c r="S12" s="594"/>
      <c r="T12" s="573"/>
      <c r="U12" s="594"/>
      <c r="V12" s="573"/>
      <c r="W12" s="594"/>
      <c r="X12" s="573"/>
      <c r="Y12" s="594"/>
      <c r="Z12" s="573"/>
      <c r="AA12" s="594"/>
      <c r="AB12" s="573"/>
      <c r="AC12" s="594"/>
      <c r="AD12" s="573"/>
      <c r="AE12" s="594"/>
      <c r="AF12" s="573"/>
      <c r="AG12" s="594"/>
      <c r="AH12" s="573"/>
      <c r="AI12" s="594"/>
      <c r="AJ12" s="573"/>
      <c r="AK12" s="594"/>
      <c r="AL12" s="573"/>
      <c r="AM12" s="594"/>
      <c r="AN12" s="573"/>
      <c r="AO12" s="594"/>
      <c r="AP12" s="573"/>
      <c r="AQ12" s="594"/>
      <c r="AR12" s="692"/>
      <c r="AS12" s="594"/>
      <c r="AT12" s="573"/>
      <c r="AU12" s="594"/>
      <c r="AV12" s="573"/>
      <c r="AW12" s="594"/>
      <c r="AX12" s="573"/>
      <c r="AY12" s="594"/>
      <c r="AZ12" s="573"/>
      <c r="BA12" s="594"/>
      <c r="BD12" s="81">
        <v>5</v>
      </c>
      <c r="BE12" s="471" t="s">
        <v>603</v>
      </c>
      <c r="BF12" s="81" t="s">
        <v>609</v>
      </c>
      <c r="BG12" s="117"/>
      <c r="BH12" s="116"/>
      <c r="BI12" s="98" t="str">
        <f>IF(OR(ISBLANK(F12),ISBLANK(H12)),"N/A",IF(ABS((H12-F12)/F12)&gt;1,"&gt; 100%","ok"))</f>
        <v>N/A</v>
      </c>
      <c r="BJ12" s="115"/>
      <c r="BK12" s="98" t="str">
        <f>IF(OR(ISBLANK(H12),ISBLANK(J12)),"N/A",IF(ABS((J12-H12)/H12)&gt;0.25,"&gt; 25%","ok"))</f>
        <v>N/A</v>
      </c>
      <c r="BL12" s="116"/>
      <c r="BM12" s="98" t="str">
        <f>IF(OR(ISBLANK(J12),ISBLANK(L12)),"N/A",IF(ABS((L12-J12)/J12)&gt;0.25,"&gt; 25%","ok"))</f>
        <v>N/A</v>
      </c>
      <c r="BN12" s="116"/>
      <c r="BO12" s="98" t="str">
        <f>IF(OR(ISBLANK(L12),ISBLANK(N12)),"N/A",IF(ABS((N12-L12)/L12)&gt;0.25,"&gt; 25%","ok"))</f>
        <v>N/A</v>
      </c>
      <c r="BP12" s="116"/>
      <c r="BQ12" s="98" t="str">
        <f>IF(OR(ISBLANK(N12),ISBLANK(P12)),"N/A",IF(ABS((P12-N12)/N12)&gt;0.25,"&gt; 25%","ok"))</f>
        <v>N/A</v>
      </c>
      <c r="BR12" s="116"/>
      <c r="BS12" s="98" t="str">
        <f>IF(OR(ISBLANK(P12),ISBLANK(R12)),"N/A",IF(ABS((R12-P12)/P12)&gt;0.25,"&gt; 25%","ok"))</f>
        <v>N/A</v>
      </c>
      <c r="BT12" s="116"/>
      <c r="BU12" s="98" t="str">
        <f>IF(OR(ISBLANK(R12),ISBLANK(T12)),"N/A",IF(ABS((T12-R12)/R12)&gt;0.25,"&gt; 25%","ok"))</f>
        <v>N/A</v>
      </c>
      <c r="BV12" s="115"/>
      <c r="BW12" s="98" t="str">
        <f>IF(OR(ISBLANK(T12),ISBLANK(V12)),"N/A",IF(ABS((V12-T12)/T12)&gt;0.25,"&gt; 25%","ok"))</f>
        <v>N/A</v>
      </c>
      <c r="BX12" s="81"/>
      <c r="BY12" s="98" t="str">
        <f>IF(OR(ISBLANK(V12),ISBLANK(X12)),"N/A",IF(ABS((X12-V12)/V12)&gt;0.25,"&gt; 25%","ok"))</f>
        <v>N/A</v>
      </c>
      <c r="BZ12" s="117"/>
      <c r="CA12" s="98" t="str">
        <f>IF(OR(ISBLANK(X12),ISBLANK(Z12)),"N/A",IF(ABS((Z12-X12)/X12)&gt;0.25,"&gt; 25%","ok"))</f>
        <v>N/A</v>
      </c>
      <c r="CB12" s="115"/>
      <c r="CC12" s="98" t="str">
        <f>IF(OR(ISBLANK(Z12),ISBLANK(AB12)),"N/A",IF(ABS((AB12-Z12)/Z12)&gt;0.25,"&gt; 25%","ok"))</f>
        <v>N/A</v>
      </c>
      <c r="CD12" s="81"/>
      <c r="CE12" s="98" t="str">
        <f>IF(OR(ISBLANK(AB12),ISBLANK(AD12)),"N/A",IF(ABS((AD12-AB12)/AB12)&gt;0.25,"&gt; 25%","ok"))</f>
        <v>N/A</v>
      </c>
      <c r="CF12" s="116"/>
      <c r="CG12" s="98" t="str">
        <f>IF(OR(ISBLANK(AD12),ISBLANK(AF12)),"N/A",IF(ABS((AF12-AD12)/AD12)&gt;0.25,"&gt; 25%","ok"))</f>
        <v>N/A</v>
      </c>
      <c r="CH12" s="115"/>
      <c r="CI12" s="98" t="str">
        <f>IF(OR(ISBLANK(AF12),ISBLANK(AH12)),"N/A",IF(ABS((AH12-AF12)/AF12)&gt;0.25,"&gt; 25%","ok"))</f>
        <v>N/A</v>
      </c>
      <c r="CJ12" s="117"/>
      <c r="CK12" s="98" t="str">
        <f>IF(OR(ISBLANK(AH12),ISBLANK(AJ12)),"N/A",IF(ABS((AJ12-AH12)/AH12)&gt;0.25,"&gt; 25%","ok"))</f>
        <v>N/A</v>
      </c>
      <c r="CL12" s="115"/>
      <c r="CM12" s="98" t="str">
        <f>IF(OR(ISBLANK(AJ12),ISBLANK(AL12)),"N/A",IF(ABS((AL12-AJ12)/AJ12)&gt;0.25,"&gt; 25%","ok"))</f>
        <v>N/A</v>
      </c>
      <c r="CN12" s="81"/>
      <c r="CO12" s="98" t="str">
        <f>IF(OR(ISBLANK(AL12),ISBLANK(AN12)),"N/A",IF(ABS((AN12-AL12)/AL12)&gt;0.25,"&gt; 25%","ok"))</f>
        <v>N/A</v>
      </c>
      <c r="CP12" s="81"/>
      <c r="CQ12" s="98" t="str">
        <f>IF(OR(ISBLANK(AN12),ISBLANK(AP12)),"N/A",IF(ABS((AP12-AN12)/AN12)&gt;0.25,"&gt; 25%","ok"))</f>
        <v>N/A</v>
      </c>
      <c r="CR12" s="81"/>
      <c r="CS12" s="98" t="str">
        <f>IF(OR(ISBLANK(AP12),ISBLANK(AR12)),"N/A",IF(ABS((AR12-AP12)/AP12)&gt;0.25,"&gt; 25%","ok"))</f>
        <v>N/A</v>
      </c>
      <c r="CT12" s="117"/>
      <c r="CU12" s="98" t="str">
        <f>IF(OR(ISBLANK(AR12),ISBLANK(AT12)),"N/A",IF(ABS((AT12-AR12)/AR12)&gt;0.25,"&gt; 25%","ok"))</f>
        <v>N/A</v>
      </c>
      <c r="CV12" s="81"/>
      <c r="CW12" s="98" t="str">
        <f>IF(OR(ISBLANK(AT12),ISBLANK(AV12)),"N/A",IF(ABS((AV12-AT12)/AT12)&gt;0.25,"&gt; 25%","ok"))</f>
        <v>N/A</v>
      </c>
      <c r="CX12" s="117"/>
      <c r="CY12" s="98" t="str">
        <f>IF(OR(ISBLANK(AV12),ISBLANK(AX12)),"N/A",IF(ABS((AX12-AV12)/AV12)&gt;0.25,"&gt; 25%","ok"))</f>
        <v>N/A</v>
      </c>
      <c r="CZ12" s="81"/>
      <c r="DA12" s="98" t="str">
        <f>IF(OR(ISBLANK(AX12),ISBLANK(AZ12)),"N/A",IF(ABS((AZ12-AX12)/AX12)&gt;0.25,"&gt; 25%","ok"))</f>
        <v>N/A</v>
      </c>
    </row>
    <row r="13" spans="1:105" ht="22.9" customHeight="1" x14ac:dyDescent="0.2">
      <c r="B13" s="257">
        <v>156</v>
      </c>
      <c r="C13" s="394">
        <v>6</v>
      </c>
      <c r="D13" s="274" t="s">
        <v>678</v>
      </c>
      <c r="E13" s="394" t="s">
        <v>206</v>
      </c>
      <c r="F13" s="573"/>
      <c r="G13" s="594"/>
      <c r="H13" s="573"/>
      <c r="I13" s="594"/>
      <c r="J13" s="573"/>
      <c r="K13" s="594"/>
      <c r="L13" s="573"/>
      <c r="M13" s="594"/>
      <c r="N13" s="573"/>
      <c r="O13" s="594"/>
      <c r="P13" s="573"/>
      <c r="Q13" s="594"/>
      <c r="R13" s="573"/>
      <c r="S13" s="594"/>
      <c r="T13" s="573"/>
      <c r="U13" s="594"/>
      <c r="V13" s="573"/>
      <c r="W13" s="594"/>
      <c r="X13" s="573"/>
      <c r="Y13" s="594"/>
      <c r="Z13" s="573"/>
      <c r="AA13" s="594"/>
      <c r="AB13" s="573"/>
      <c r="AC13" s="594"/>
      <c r="AD13" s="573"/>
      <c r="AE13" s="594"/>
      <c r="AF13" s="573"/>
      <c r="AG13" s="594"/>
      <c r="AH13" s="573"/>
      <c r="AI13" s="594"/>
      <c r="AJ13" s="573"/>
      <c r="AK13" s="594"/>
      <c r="AL13" s="573"/>
      <c r="AM13" s="594"/>
      <c r="AN13" s="573"/>
      <c r="AO13" s="594"/>
      <c r="AP13" s="573"/>
      <c r="AQ13" s="594"/>
      <c r="AR13" s="692"/>
      <c r="AS13" s="594"/>
      <c r="AT13" s="573"/>
      <c r="AU13" s="594"/>
      <c r="AV13" s="573"/>
      <c r="AW13" s="594"/>
      <c r="AX13" s="573"/>
      <c r="AY13" s="594"/>
      <c r="AZ13" s="573"/>
      <c r="BA13" s="594"/>
      <c r="BD13" s="81">
        <v>6</v>
      </c>
      <c r="BE13" s="471" t="s">
        <v>611</v>
      </c>
      <c r="BF13" s="81" t="s">
        <v>609</v>
      </c>
      <c r="BG13" s="117" t="s">
        <v>466</v>
      </c>
      <c r="BH13" s="116"/>
      <c r="BI13" s="98" t="str">
        <f t="shared" si="22"/>
        <v>N/A</v>
      </c>
      <c r="BJ13" s="115"/>
      <c r="BK13" s="98" t="str">
        <f t="shared" si="0"/>
        <v>N/A</v>
      </c>
      <c r="BL13" s="116"/>
      <c r="BM13" s="98" t="str">
        <f t="shared" si="1"/>
        <v>N/A</v>
      </c>
      <c r="BN13" s="116"/>
      <c r="BO13" s="98" t="str">
        <f t="shared" si="2"/>
        <v>N/A</v>
      </c>
      <c r="BP13" s="116"/>
      <c r="BQ13" s="98" t="str">
        <f t="shared" si="3"/>
        <v>N/A</v>
      </c>
      <c r="BR13" s="116"/>
      <c r="BS13" s="98" t="str">
        <f t="shared" si="4"/>
        <v>N/A</v>
      </c>
      <c r="BT13" s="116"/>
      <c r="BU13" s="98" t="str">
        <f t="shared" si="5"/>
        <v>N/A</v>
      </c>
      <c r="BV13" s="115"/>
      <c r="BW13" s="98" t="str">
        <f t="shared" si="6"/>
        <v>N/A</v>
      </c>
      <c r="BX13" s="81"/>
      <c r="BY13" s="98" t="str">
        <f t="shared" si="7"/>
        <v>N/A</v>
      </c>
      <c r="BZ13" s="117"/>
      <c r="CA13" s="98" t="str">
        <f t="shared" si="8"/>
        <v>N/A</v>
      </c>
      <c r="CB13" s="115"/>
      <c r="CC13" s="98" t="str">
        <f t="shared" si="9"/>
        <v>N/A</v>
      </c>
      <c r="CD13" s="81"/>
      <c r="CE13" s="98" t="str">
        <f t="shared" si="10"/>
        <v>N/A</v>
      </c>
      <c r="CF13" s="116"/>
      <c r="CG13" s="98" t="str">
        <f t="shared" si="11"/>
        <v>N/A</v>
      </c>
      <c r="CH13" s="115"/>
      <c r="CI13" s="98" t="str">
        <f t="shared" si="12"/>
        <v>N/A</v>
      </c>
      <c r="CJ13" s="117"/>
      <c r="CK13" s="98" t="str">
        <f t="shared" si="13"/>
        <v>N/A</v>
      </c>
      <c r="CL13" s="115"/>
      <c r="CM13" s="98" t="str">
        <f t="shared" si="14"/>
        <v>N/A</v>
      </c>
      <c r="CN13" s="81"/>
      <c r="CO13" s="98" t="str">
        <f t="shared" si="15"/>
        <v>N/A</v>
      </c>
      <c r="CP13" s="81"/>
      <c r="CQ13" s="98" t="str">
        <f t="shared" si="16"/>
        <v>N/A</v>
      </c>
      <c r="CR13" s="81"/>
      <c r="CS13" s="98" t="str">
        <f t="shared" si="17"/>
        <v>N/A</v>
      </c>
      <c r="CT13" s="117"/>
      <c r="CU13" s="98" t="str">
        <f t="shared" si="18"/>
        <v>N/A</v>
      </c>
      <c r="CV13" s="81"/>
      <c r="CW13" s="98" t="str">
        <f t="shared" si="19"/>
        <v>N/A</v>
      </c>
      <c r="CX13" s="117"/>
      <c r="CY13" s="98" t="str">
        <f t="shared" si="20"/>
        <v>N/A</v>
      </c>
      <c r="CZ13" s="81"/>
      <c r="DA13" s="98" t="str">
        <f t="shared" si="21"/>
        <v>N/A</v>
      </c>
    </row>
    <row r="14" spans="1:105" ht="18.95" customHeight="1" x14ac:dyDescent="0.2">
      <c r="B14" s="257">
        <v>144</v>
      </c>
      <c r="C14" s="394">
        <v>7</v>
      </c>
      <c r="D14" s="686" t="s">
        <v>679</v>
      </c>
      <c r="E14" s="394" t="s">
        <v>206</v>
      </c>
      <c r="F14" s="573"/>
      <c r="G14" s="594"/>
      <c r="H14" s="573"/>
      <c r="I14" s="594"/>
      <c r="J14" s="573"/>
      <c r="K14" s="594"/>
      <c r="L14" s="573"/>
      <c r="M14" s="594"/>
      <c r="N14" s="573"/>
      <c r="O14" s="594"/>
      <c r="P14" s="573"/>
      <c r="Q14" s="594"/>
      <c r="R14" s="573"/>
      <c r="S14" s="594"/>
      <c r="T14" s="573"/>
      <c r="U14" s="594"/>
      <c r="V14" s="573"/>
      <c r="W14" s="594"/>
      <c r="X14" s="573"/>
      <c r="Y14" s="594"/>
      <c r="Z14" s="573"/>
      <c r="AA14" s="594"/>
      <c r="AB14" s="573"/>
      <c r="AC14" s="594"/>
      <c r="AD14" s="573"/>
      <c r="AE14" s="594"/>
      <c r="AF14" s="573"/>
      <c r="AG14" s="594"/>
      <c r="AH14" s="573"/>
      <c r="AI14" s="594"/>
      <c r="AJ14" s="573"/>
      <c r="AK14" s="594"/>
      <c r="AL14" s="573"/>
      <c r="AM14" s="594"/>
      <c r="AN14" s="573"/>
      <c r="AO14" s="594"/>
      <c r="AP14" s="573"/>
      <c r="AQ14" s="594"/>
      <c r="AR14" s="692"/>
      <c r="AS14" s="594"/>
      <c r="AT14" s="573"/>
      <c r="AU14" s="594"/>
      <c r="AV14" s="573"/>
      <c r="AW14" s="594"/>
      <c r="AX14" s="573"/>
      <c r="AY14" s="594"/>
      <c r="AZ14" s="573"/>
      <c r="BA14" s="594"/>
      <c r="BD14" s="81">
        <v>7</v>
      </c>
      <c r="BE14" s="471" t="s">
        <v>587</v>
      </c>
      <c r="BF14" s="81" t="s">
        <v>609</v>
      </c>
      <c r="BG14" s="117"/>
      <c r="BH14" s="116"/>
      <c r="BI14" s="98" t="str">
        <f>IF(OR(ISBLANK(F14),ISBLANK(H14)),"N/A",IF(ABS((H14-F14)/F14)&gt;1,"&gt; 100%","ok"))</f>
        <v>N/A</v>
      </c>
      <c r="BJ14" s="115"/>
      <c r="BK14" s="98" t="str">
        <f>IF(OR(ISBLANK(H14),ISBLANK(J14)),"N/A",IF(ABS((J14-H14)/H14)&gt;0.25,"&gt; 25%","ok"))</f>
        <v>N/A</v>
      </c>
      <c r="BL14" s="116"/>
      <c r="BM14" s="98" t="str">
        <f>IF(OR(ISBLANK(J14),ISBLANK(L14)),"N/A",IF(ABS((L14-J14)/J14)&gt;0.25,"&gt; 25%","ok"))</f>
        <v>N/A</v>
      </c>
      <c r="BN14" s="116"/>
      <c r="BO14" s="98" t="str">
        <f>IF(OR(ISBLANK(L14),ISBLANK(N14)),"N/A",IF(ABS((N14-L14)/L14)&gt;0.25,"&gt; 25%","ok"))</f>
        <v>N/A</v>
      </c>
      <c r="BP14" s="116"/>
      <c r="BQ14" s="98" t="str">
        <f>IF(OR(ISBLANK(N14),ISBLANK(P14)),"N/A",IF(ABS((P14-N14)/N14)&gt;0.25,"&gt; 25%","ok"))</f>
        <v>N/A</v>
      </c>
      <c r="BR14" s="116"/>
      <c r="BS14" s="98" t="str">
        <f>IF(OR(ISBLANK(P14),ISBLANK(R14)),"N/A",IF(ABS((R14-P14)/P14)&gt;0.25,"&gt; 25%","ok"))</f>
        <v>N/A</v>
      </c>
      <c r="BT14" s="116"/>
      <c r="BU14" s="98" t="str">
        <f>IF(OR(ISBLANK(R14),ISBLANK(T14)),"N/A",IF(ABS((T14-R14)/R14)&gt;0.25,"&gt; 25%","ok"))</f>
        <v>N/A</v>
      </c>
      <c r="BV14" s="115"/>
      <c r="BW14" s="98" t="str">
        <f>IF(OR(ISBLANK(T14),ISBLANK(V14)),"N/A",IF(ABS((V14-T14)/T14)&gt;0.25,"&gt; 25%","ok"))</f>
        <v>N/A</v>
      </c>
      <c r="BX14" s="81"/>
      <c r="BY14" s="98" t="str">
        <f>IF(OR(ISBLANK(V14),ISBLANK(X14)),"N/A",IF(ABS((X14-V14)/V14)&gt;0.25,"&gt; 25%","ok"))</f>
        <v>N/A</v>
      </c>
      <c r="BZ14" s="117"/>
      <c r="CA14" s="98" t="str">
        <f>IF(OR(ISBLANK(X14),ISBLANK(Z14)),"N/A",IF(ABS((Z14-X14)/X14)&gt;0.25,"&gt; 25%","ok"))</f>
        <v>N/A</v>
      </c>
      <c r="CB14" s="115"/>
      <c r="CC14" s="98" t="str">
        <f>IF(OR(ISBLANK(Z14),ISBLANK(AB14)),"N/A",IF(ABS((AB14-Z14)/Z14)&gt;0.25,"&gt; 25%","ok"))</f>
        <v>N/A</v>
      </c>
      <c r="CD14" s="81"/>
      <c r="CE14" s="98" t="str">
        <f>IF(OR(ISBLANK(AB14),ISBLANK(AD14)),"N/A",IF(ABS((AD14-AB14)/AB14)&gt;0.25,"&gt; 25%","ok"))</f>
        <v>N/A</v>
      </c>
      <c r="CF14" s="116"/>
      <c r="CG14" s="98" t="str">
        <f>IF(OR(ISBLANK(AD14),ISBLANK(AF14)),"N/A",IF(ABS((AF14-AD14)/AD14)&gt;0.25,"&gt; 25%","ok"))</f>
        <v>N/A</v>
      </c>
      <c r="CH14" s="115"/>
      <c r="CI14" s="98" t="str">
        <f>IF(OR(ISBLANK(AF14),ISBLANK(AH14)),"N/A",IF(ABS((AH14-AF14)/AF14)&gt;0.25,"&gt; 25%","ok"))</f>
        <v>N/A</v>
      </c>
      <c r="CJ14" s="117"/>
      <c r="CK14" s="98" t="str">
        <f>IF(OR(ISBLANK(AH14),ISBLANK(AJ14)),"N/A",IF(ABS((AJ14-AH14)/AH14)&gt;0.25,"&gt; 25%","ok"))</f>
        <v>N/A</v>
      </c>
      <c r="CL14" s="115"/>
      <c r="CM14" s="98" t="str">
        <f>IF(OR(ISBLANK(AJ14),ISBLANK(AL14)),"N/A",IF(ABS((AL14-AJ14)/AJ14)&gt;0.25,"&gt; 25%","ok"))</f>
        <v>N/A</v>
      </c>
      <c r="CN14" s="81"/>
      <c r="CO14" s="98" t="str">
        <f>IF(OR(ISBLANK(AL14),ISBLANK(AN14)),"N/A",IF(ABS((AN14-AL14)/AL14)&gt;0.25,"&gt; 25%","ok"))</f>
        <v>N/A</v>
      </c>
      <c r="CP14" s="81"/>
      <c r="CQ14" s="98" t="str">
        <f>IF(OR(ISBLANK(AN14),ISBLANK(AP14)),"N/A",IF(ABS((AP14-AN14)/AN14)&gt;0.25,"&gt; 25%","ok"))</f>
        <v>N/A</v>
      </c>
      <c r="CR14" s="81"/>
      <c r="CS14" s="98" t="str">
        <f>IF(OR(ISBLANK(AP14),ISBLANK(AR14)),"N/A",IF(ABS((AR14-AP14)/AP14)&gt;0.25,"&gt; 25%","ok"))</f>
        <v>N/A</v>
      </c>
      <c r="CT14" s="117"/>
      <c r="CU14" s="98" t="str">
        <f>IF(OR(ISBLANK(AR14),ISBLANK(AT14)),"N/A",IF(ABS((AT14-AR14)/AR14)&gt;0.25,"&gt; 25%","ok"))</f>
        <v>N/A</v>
      </c>
      <c r="CV14" s="81"/>
      <c r="CW14" s="98" t="str">
        <f>IF(OR(ISBLANK(AT14),ISBLANK(AV14)),"N/A",IF(ABS((AV14-AT14)/AT14)&gt;0.25,"&gt; 25%","ok"))</f>
        <v>N/A</v>
      </c>
      <c r="CX14" s="117"/>
      <c r="CY14" s="98" t="str">
        <f>IF(OR(ISBLANK(AV14),ISBLANK(AX14)),"N/A",IF(ABS((AX14-AV14)/AV14)&gt;0.25,"&gt; 25%","ok"))</f>
        <v>N/A</v>
      </c>
      <c r="CZ14" s="81"/>
      <c r="DA14" s="98" t="str">
        <f>IF(OR(ISBLANK(AX14),ISBLANK(AZ14)),"N/A",IF(ABS((AZ14-AX14)/AX14)&gt;0.25,"&gt; 25%","ok"))</f>
        <v>N/A</v>
      </c>
    </row>
    <row r="15" spans="1:105" ht="18.95" customHeight="1" x14ac:dyDescent="0.2">
      <c r="B15" s="257">
        <v>146</v>
      </c>
      <c r="C15" s="394">
        <v>8</v>
      </c>
      <c r="D15" s="274" t="s">
        <v>59</v>
      </c>
      <c r="E15" s="394" t="s">
        <v>206</v>
      </c>
      <c r="F15" s="573"/>
      <c r="G15" s="594"/>
      <c r="H15" s="573"/>
      <c r="I15" s="594"/>
      <c r="J15" s="573"/>
      <c r="K15" s="594"/>
      <c r="L15" s="573"/>
      <c r="M15" s="594"/>
      <c r="N15" s="573"/>
      <c r="O15" s="594"/>
      <c r="P15" s="573"/>
      <c r="Q15" s="594"/>
      <c r="R15" s="573"/>
      <c r="S15" s="594"/>
      <c r="T15" s="573"/>
      <c r="U15" s="594"/>
      <c r="V15" s="573"/>
      <c r="W15" s="594"/>
      <c r="X15" s="573"/>
      <c r="Y15" s="594"/>
      <c r="Z15" s="573"/>
      <c r="AA15" s="594"/>
      <c r="AB15" s="573"/>
      <c r="AC15" s="594"/>
      <c r="AD15" s="573"/>
      <c r="AE15" s="594"/>
      <c r="AF15" s="573"/>
      <c r="AG15" s="594"/>
      <c r="AH15" s="573"/>
      <c r="AI15" s="594"/>
      <c r="AJ15" s="573"/>
      <c r="AK15" s="594"/>
      <c r="AL15" s="573"/>
      <c r="AM15" s="594"/>
      <c r="AN15" s="573"/>
      <c r="AO15" s="594"/>
      <c r="AP15" s="573"/>
      <c r="AQ15" s="594"/>
      <c r="AR15" s="692"/>
      <c r="AS15" s="594"/>
      <c r="AT15" s="573"/>
      <c r="AU15" s="594"/>
      <c r="AV15" s="573"/>
      <c r="AW15" s="594"/>
      <c r="AX15" s="573"/>
      <c r="AY15" s="594"/>
      <c r="AZ15" s="573"/>
      <c r="BA15" s="594"/>
      <c r="BD15" s="81">
        <v>8</v>
      </c>
      <c r="BE15" s="471" t="s">
        <v>211</v>
      </c>
      <c r="BF15" s="81" t="s">
        <v>609</v>
      </c>
      <c r="BG15" s="117" t="s">
        <v>466</v>
      </c>
      <c r="BH15" s="116"/>
      <c r="BI15" s="98" t="str">
        <f t="shared" si="22"/>
        <v>N/A</v>
      </c>
      <c r="BJ15" s="115"/>
      <c r="BK15" s="98" t="str">
        <f t="shared" si="0"/>
        <v>N/A</v>
      </c>
      <c r="BL15" s="116"/>
      <c r="BM15" s="98" t="str">
        <f t="shared" si="1"/>
        <v>N/A</v>
      </c>
      <c r="BN15" s="116"/>
      <c r="BO15" s="98" t="str">
        <f t="shared" si="2"/>
        <v>N/A</v>
      </c>
      <c r="BP15" s="116"/>
      <c r="BQ15" s="98" t="str">
        <f t="shared" si="3"/>
        <v>N/A</v>
      </c>
      <c r="BR15" s="116"/>
      <c r="BS15" s="98" t="str">
        <f t="shared" si="4"/>
        <v>N/A</v>
      </c>
      <c r="BT15" s="116"/>
      <c r="BU15" s="98" t="str">
        <f t="shared" si="5"/>
        <v>N/A</v>
      </c>
      <c r="BV15" s="115"/>
      <c r="BW15" s="98" t="str">
        <f t="shared" si="6"/>
        <v>N/A</v>
      </c>
      <c r="BX15" s="81"/>
      <c r="BY15" s="98" t="str">
        <f t="shared" si="7"/>
        <v>N/A</v>
      </c>
      <c r="BZ15" s="117"/>
      <c r="CA15" s="98" t="str">
        <f t="shared" si="8"/>
        <v>N/A</v>
      </c>
      <c r="CB15" s="115"/>
      <c r="CC15" s="98" t="str">
        <f t="shared" si="9"/>
        <v>N/A</v>
      </c>
      <c r="CD15" s="81"/>
      <c r="CE15" s="98" t="str">
        <f t="shared" si="10"/>
        <v>N/A</v>
      </c>
      <c r="CF15" s="116"/>
      <c r="CG15" s="98" t="str">
        <f t="shared" si="11"/>
        <v>N/A</v>
      </c>
      <c r="CH15" s="115"/>
      <c r="CI15" s="98" t="str">
        <f t="shared" si="12"/>
        <v>N/A</v>
      </c>
      <c r="CJ15" s="117"/>
      <c r="CK15" s="98" t="str">
        <f t="shared" si="13"/>
        <v>N/A</v>
      </c>
      <c r="CL15" s="115"/>
      <c r="CM15" s="98" t="str">
        <f t="shared" si="14"/>
        <v>N/A</v>
      </c>
      <c r="CN15" s="81"/>
      <c r="CO15" s="98" t="str">
        <f t="shared" si="15"/>
        <v>N/A</v>
      </c>
      <c r="CP15" s="81"/>
      <c r="CQ15" s="98" t="str">
        <f t="shared" si="16"/>
        <v>N/A</v>
      </c>
      <c r="CR15" s="81"/>
      <c r="CS15" s="98" t="str">
        <f t="shared" si="17"/>
        <v>N/A</v>
      </c>
      <c r="CT15" s="117"/>
      <c r="CU15" s="98" t="str">
        <f t="shared" si="18"/>
        <v>N/A</v>
      </c>
      <c r="CV15" s="81"/>
      <c r="CW15" s="98" t="str">
        <f t="shared" si="19"/>
        <v>N/A</v>
      </c>
      <c r="CX15" s="117"/>
      <c r="CY15" s="98" t="str">
        <f t="shared" si="20"/>
        <v>N/A</v>
      </c>
      <c r="CZ15" s="81"/>
      <c r="DA15" s="98" t="str">
        <f t="shared" si="21"/>
        <v>N/A</v>
      </c>
    </row>
    <row r="16" spans="1:105" ht="18.95" customHeight="1" x14ac:dyDescent="0.2">
      <c r="B16" s="257">
        <v>159</v>
      </c>
      <c r="C16" s="394">
        <v>9</v>
      </c>
      <c r="D16" s="274" t="s">
        <v>57</v>
      </c>
      <c r="E16" s="394" t="s">
        <v>206</v>
      </c>
      <c r="F16" s="573"/>
      <c r="G16" s="594"/>
      <c r="H16" s="573"/>
      <c r="I16" s="594"/>
      <c r="J16" s="573"/>
      <c r="K16" s="594"/>
      <c r="L16" s="573"/>
      <c r="M16" s="594"/>
      <c r="N16" s="573"/>
      <c r="O16" s="594"/>
      <c r="P16" s="573"/>
      <c r="Q16" s="594"/>
      <c r="R16" s="573"/>
      <c r="S16" s="594"/>
      <c r="T16" s="573"/>
      <c r="U16" s="594"/>
      <c r="V16" s="573"/>
      <c r="W16" s="594"/>
      <c r="X16" s="573"/>
      <c r="Y16" s="594"/>
      <c r="Z16" s="573"/>
      <c r="AA16" s="594"/>
      <c r="AB16" s="573"/>
      <c r="AC16" s="594"/>
      <c r="AD16" s="573"/>
      <c r="AE16" s="594"/>
      <c r="AF16" s="573"/>
      <c r="AG16" s="594"/>
      <c r="AH16" s="573"/>
      <c r="AI16" s="594"/>
      <c r="AJ16" s="573"/>
      <c r="AK16" s="594"/>
      <c r="AL16" s="573"/>
      <c r="AM16" s="594"/>
      <c r="AN16" s="573"/>
      <c r="AO16" s="594"/>
      <c r="AP16" s="573"/>
      <c r="AQ16" s="594"/>
      <c r="AR16" s="692"/>
      <c r="AS16" s="594"/>
      <c r="AT16" s="573">
        <f>[1]OFERTA_2014!$BJ$31</f>
        <v>2331.5875307381834</v>
      </c>
      <c r="AU16" s="594" t="s">
        <v>681</v>
      </c>
      <c r="AV16" s="573">
        <f>[1]OFERTA_2015!$BJ$31</f>
        <v>2381.482255512477</v>
      </c>
      <c r="AW16" s="594" t="s">
        <v>681</v>
      </c>
      <c r="AX16" s="573">
        <f>[1]OFERTA_2016p!$BJ$31</f>
        <v>2240.038843984189</v>
      </c>
      <c r="AY16" s="594" t="s">
        <v>681</v>
      </c>
      <c r="AZ16" s="573"/>
      <c r="BA16" s="594"/>
      <c r="BD16" s="81">
        <v>9</v>
      </c>
      <c r="BE16" s="471" t="s">
        <v>210</v>
      </c>
      <c r="BF16" s="81" t="s">
        <v>609</v>
      </c>
      <c r="BG16" s="117" t="s">
        <v>466</v>
      </c>
      <c r="BH16" s="116"/>
      <c r="BI16" s="98" t="str">
        <f t="shared" si="22"/>
        <v>N/A</v>
      </c>
      <c r="BJ16" s="115"/>
      <c r="BK16" s="98" t="str">
        <f t="shared" si="0"/>
        <v>N/A</v>
      </c>
      <c r="BL16" s="116"/>
      <c r="BM16" s="98" t="str">
        <f t="shared" si="1"/>
        <v>N/A</v>
      </c>
      <c r="BN16" s="116"/>
      <c r="BO16" s="98" t="str">
        <f t="shared" si="2"/>
        <v>N/A</v>
      </c>
      <c r="BP16" s="116"/>
      <c r="BQ16" s="98" t="str">
        <f t="shared" si="3"/>
        <v>N/A</v>
      </c>
      <c r="BR16" s="116"/>
      <c r="BS16" s="98" t="str">
        <f t="shared" si="4"/>
        <v>N/A</v>
      </c>
      <c r="BT16" s="116"/>
      <c r="BU16" s="98" t="str">
        <f t="shared" si="5"/>
        <v>N/A</v>
      </c>
      <c r="BV16" s="115"/>
      <c r="BW16" s="98" t="str">
        <f t="shared" si="6"/>
        <v>N/A</v>
      </c>
      <c r="BX16" s="81"/>
      <c r="BY16" s="98" t="str">
        <f t="shared" si="7"/>
        <v>N/A</v>
      </c>
      <c r="BZ16" s="115"/>
      <c r="CA16" s="98" t="str">
        <f t="shared" si="8"/>
        <v>N/A</v>
      </c>
      <c r="CB16" s="81"/>
      <c r="CC16" s="98" t="str">
        <f t="shared" si="9"/>
        <v>N/A</v>
      </c>
      <c r="CD16" s="116"/>
      <c r="CE16" s="98" t="str">
        <f t="shared" si="10"/>
        <v>N/A</v>
      </c>
      <c r="CF16" s="115"/>
      <c r="CG16" s="98" t="str">
        <f t="shared" si="11"/>
        <v>N/A</v>
      </c>
      <c r="CH16" s="81"/>
      <c r="CI16" s="98" t="str">
        <f t="shared" si="12"/>
        <v>N/A</v>
      </c>
      <c r="CJ16" s="116"/>
      <c r="CK16" s="98" t="str">
        <f t="shared" si="13"/>
        <v>N/A</v>
      </c>
      <c r="CL16" s="81"/>
      <c r="CM16" s="98" t="str">
        <f t="shared" si="14"/>
        <v>N/A</v>
      </c>
      <c r="CN16" s="81"/>
      <c r="CO16" s="98" t="str">
        <f t="shared" si="15"/>
        <v>N/A</v>
      </c>
      <c r="CP16" s="115"/>
      <c r="CQ16" s="98" t="str">
        <f t="shared" si="16"/>
        <v>N/A</v>
      </c>
      <c r="CR16" s="115"/>
      <c r="CS16" s="98" t="str">
        <f t="shared" si="17"/>
        <v>N/A</v>
      </c>
      <c r="CT16" s="81"/>
      <c r="CU16" s="98" t="str">
        <f t="shared" si="18"/>
        <v>N/A</v>
      </c>
      <c r="CV16" s="116"/>
      <c r="CW16" s="98" t="str">
        <f t="shared" si="19"/>
        <v>ok</v>
      </c>
      <c r="CX16" s="81"/>
      <c r="CY16" s="98" t="str">
        <f t="shared" si="20"/>
        <v>ok</v>
      </c>
      <c r="CZ16" s="116"/>
      <c r="DA16" s="98" t="str">
        <f t="shared" si="21"/>
        <v>N/A</v>
      </c>
    </row>
    <row r="17" spans="1:105" ht="18.95" customHeight="1" x14ac:dyDescent="0.2">
      <c r="B17" s="257">
        <v>89</v>
      </c>
      <c r="C17" s="394">
        <v>10</v>
      </c>
      <c r="D17" s="274" t="s">
        <v>501</v>
      </c>
      <c r="E17" s="394" t="s">
        <v>206</v>
      </c>
      <c r="F17" s="573"/>
      <c r="G17" s="594"/>
      <c r="H17" s="573"/>
      <c r="I17" s="594"/>
      <c r="J17" s="573"/>
      <c r="K17" s="594"/>
      <c r="L17" s="573"/>
      <c r="M17" s="594"/>
      <c r="N17" s="573"/>
      <c r="O17" s="594"/>
      <c r="P17" s="573"/>
      <c r="Q17" s="594"/>
      <c r="R17" s="573"/>
      <c r="S17" s="594"/>
      <c r="T17" s="573"/>
      <c r="U17" s="594"/>
      <c r="V17" s="573"/>
      <c r="W17" s="594"/>
      <c r="X17" s="573"/>
      <c r="Y17" s="594"/>
      <c r="Z17" s="573"/>
      <c r="AA17" s="594"/>
      <c r="AB17" s="573"/>
      <c r="AC17" s="594"/>
      <c r="AD17" s="573"/>
      <c r="AE17" s="594"/>
      <c r="AF17" s="573"/>
      <c r="AG17" s="594"/>
      <c r="AH17" s="573"/>
      <c r="AI17" s="594"/>
      <c r="AJ17" s="573"/>
      <c r="AK17" s="594"/>
      <c r="AL17" s="573"/>
      <c r="AM17" s="594"/>
      <c r="AN17" s="573"/>
      <c r="AO17" s="594"/>
      <c r="AP17" s="573"/>
      <c r="AQ17" s="594"/>
      <c r="AR17" s="692"/>
      <c r="AS17" s="594"/>
      <c r="AT17" s="573"/>
      <c r="AU17" s="594"/>
      <c r="AV17" s="573"/>
      <c r="AW17" s="594"/>
      <c r="AX17" s="573"/>
      <c r="AY17" s="594"/>
      <c r="AZ17" s="573"/>
      <c r="BA17" s="594"/>
      <c r="BD17" s="81">
        <v>10</v>
      </c>
      <c r="BE17" s="269" t="s">
        <v>478</v>
      </c>
      <c r="BF17" s="81" t="s">
        <v>609</v>
      </c>
      <c r="BG17" s="117" t="s">
        <v>466</v>
      </c>
      <c r="BH17" s="116"/>
      <c r="BI17" s="98" t="str">
        <f t="shared" si="22"/>
        <v>N/A</v>
      </c>
      <c r="BJ17" s="115"/>
      <c r="BK17" s="98" t="str">
        <f>IF(OR(ISBLANK(H17),ISBLANK(J17)),"N/A",IF(ABS((J17-H17)/H17)&gt;0.25,"&gt; 25%","ok"))</f>
        <v>N/A</v>
      </c>
      <c r="BL17" s="116"/>
      <c r="BM17" s="98" t="str">
        <f t="shared" si="1"/>
        <v>N/A</v>
      </c>
      <c r="BN17" s="116"/>
      <c r="BO17" s="98" t="str">
        <f t="shared" si="2"/>
        <v>N/A</v>
      </c>
      <c r="BP17" s="116"/>
      <c r="BQ17" s="98" t="str">
        <f t="shared" si="3"/>
        <v>N/A</v>
      </c>
      <c r="BR17" s="116"/>
      <c r="BS17" s="98" t="str">
        <f t="shared" si="4"/>
        <v>N/A</v>
      </c>
      <c r="BT17" s="116"/>
      <c r="BU17" s="98" t="str">
        <f t="shared" si="5"/>
        <v>N/A</v>
      </c>
      <c r="BV17" s="115"/>
      <c r="BW17" s="98" t="str">
        <f t="shared" si="6"/>
        <v>N/A</v>
      </c>
      <c r="BX17" s="81"/>
      <c r="BY17" s="98" t="str">
        <f t="shared" si="7"/>
        <v>N/A</v>
      </c>
      <c r="BZ17" s="115"/>
      <c r="CA17" s="98" t="str">
        <f t="shared" si="8"/>
        <v>N/A</v>
      </c>
      <c r="CB17" s="81"/>
      <c r="CC17" s="98" t="str">
        <f t="shared" si="9"/>
        <v>N/A</v>
      </c>
      <c r="CD17" s="116"/>
      <c r="CE17" s="98" t="str">
        <f t="shared" si="10"/>
        <v>N/A</v>
      </c>
      <c r="CF17" s="115"/>
      <c r="CG17" s="98" t="str">
        <f t="shared" si="11"/>
        <v>N/A</v>
      </c>
      <c r="CH17" s="81"/>
      <c r="CI17" s="98" t="str">
        <f t="shared" si="12"/>
        <v>N/A</v>
      </c>
      <c r="CJ17" s="116"/>
      <c r="CK17" s="98" t="str">
        <f t="shared" si="13"/>
        <v>N/A</v>
      </c>
      <c r="CL17" s="81"/>
      <c r="CM17" s="98" t="str">
        <f t="shared" si="14"/>
        <v>N/A</v>
      </c>
      <c r="CN17" s="81"/>
      <c r="CO17" s="98" t="str">
        <f t="shared" si="15"/>
        <v>N/A</v>
      </c>
      <c r="CP17" s="115"/>
      <c r="CQ17" s="98" t="str">
        <f t="shared" si="16"/>
        <v>N/A</v>
      </c>
      <c r="CR17" s="115"/>
      <c r="CS17" s="98" t="str">
        <f t="shared" si="17"/>
        <v>N/A</v>
      </c>
      <c r="CT17" s="81"/>
      <c r="CU17" s="98" t="str">
        <f t="shared" si="18"/>
        <v>N/A</v>
      </c>
      <c r="CV17" s="116"/>
      <c r="CW17" s="98" t="str">
        <f t="shared" si="19"/>
        <v>N/A</v>
      </c>
      <c r="CX17" s="81"/>
      <c r="CY17" s="98" t="str">
        <f t="shared" si="20"/>
        <v>N/A</v>
      </c>
      <c r="CZ17" s="116"/>
      <c r="DA17" s="98" t="str">
        <f t="shared" si="21"/>
        <v>N/A</v>
      </c>
    </row>
    <row r="18" spans="1:105" ht="26.1" customHeight="1" x14ac:dyDescent="0.2">
      <c r="B18" s="257">
        <v>94</v>
      </c>
      <c r="C18" s="394">
        <v>11</v>
      </c>
      <c r="D18" s="507" t="s">
        <v>65</v>
      </c>
      <c r="E18" s="394" t="s">
        <v>206</v>
      </c>
      <c r="F18" s="573"/>
      <c r="G18" s="594"/>
      <c r="H18" s="573"/>
      <c r="I18" s="594"/>
      <c r="J18" s="573"/>
      <c r="K18" s="594"/>
      <c r="L18" s="573"/>
      <c r="M18" s="594"/>
      <c r="N18" s="573"/>
      <c r="O18" s="594"/>
      <c r="P18" s="573"/>
      <c r="Q18" s="594"/>
      <c r="R18" s="573"/>
      <c r="S18" s="594"/>
      <c r="T18" s="573"/>
      <c r="U18" s="594"/>
      <c r="V18" s="573"/>
      <c r="W18" s="594"/>
      <c r="X18" s="573"/>
      <c r="Y18" s="594"/>
      <c r="Z18" s="573"/>
      <c r="AA18" s="594"/>
      <c r="AB18" s="573"/>
      <c r="AC18" s="594"/>
      <c r="AD18" s="573"/>
      <c r="AE18" s="594"/>
      <c r="AF18" s="573"/>
      <c r="AG18" s="594"/>
      <c r="AH18" s="573"/>
      <c r="AI18" s="594"/>
      <c r="AJ18" s="573"/>
      <c r="AK18" s="594"/>
      <c r="AL18" s="573"/>
      <c r="AM18" s="594"/>
      <c r="AN18" s="573"/>
      <c r="AO18" s="594"/>
      <c r="AP18" s="573"/>
      <c r="AQ18" s="594"/>
      <c r="AR18" s="692"/>
      <c r="AS18" s="594"/>
      <c r="AT18" s="573"/>
      <c r="AU18" s="594"/>
      <c r="AV18" s="573"/>
      <c r="AW18" s="594"/>
      <c r="AX18" s="573"/>
      <c r="AY18" s="594"/>
      <c r="AZ18" s="573"/>
      <c r="BA18" s="594"/>
      <c r="BD18" s="81">
        <v>11</v>
      </c>
      <c r="BE18" s="471" t="s">
        <v>612</v>
      </c>
      <c r="BF18" s="81" t="s">
        <v>609</v>
      </c>
      <c r="BG18" s="117" t="s">
        <v>466</v>
      </c>
      <c r="BH18" s="116"/>
      <c r="BI18" s="98" t="str">
        <f t="shared" si="22"/>
        <v>N/A</v>
      </c>
      <c r="BJ18" s="115"/>
      <c r="BK18" s="98" t="str">
        <f t="shared" si="0"/>
        <v>N/A</v>
      </c>
      <c r="BL18" s="116"/>
      <c r="BM18" s="98" t="str">
        <f t="shared" si="1"/>
        <v>N/A</v>
      </c>
      <c r="BN18" s="116"/>
      <c r="BO18" s="98" t="str">
        <f t="shared" si="2"/>
        <v>N/A</v>
      </c>
      <c r="BP18" s="116"/>
      <c r="BQ18" s="98" t="str">
        <f t="shared" si="3"/>
        <v>N/A</v>
      </c>
      <c r="BR18" s="116"/>
      <c r="BS18" s="98" t="str">
        <f>IF(OR(ISBLANK(P18),ISBLANK(R18)),"N/A",IF(ABS((R18-P18)/P18)&gt;0.25,"&gt; 25%","ok"))</f>
        <v>N/A</v>
      </c>
      <c r="BT18" s="116"/>
      <c r="BU18" s="98" t="str">
        <f>IF(OR(ISBLANK(R18),ISBLANK(T18)),"N/A",IF(ABS((T18-R18)/R18)&gt;0.25,"&gt; 25%","ok"))</f>
        <v>N/A</v>
      </c>
      <c r="BV18" s="115"/>
      <c r="BW18" s="98" t="str">
        <f>IF(OR(ISBLANK(T18),ISBLANK(V18)),"N/A",IF(ABS((V18-T18)/T18)&gt;0.25,"&gt; 25%","ok"))</f>
        <v>N/A</v>
      </c>
      <c r="BX18" s="81"/>
      <c r="BY18" s="98" t="str">
        <f>IF(OR(ISBLANK(V18),ISBLANK(X18)),"N/A",IF(ABS((X18-V18)/V18)&gt;0.25,"&gt; 25%","ok"))</f>
        <v>N/A</v>
      </c>
      <c r="BZ18" s="115"/>
      <c r="CA18" s="98" t="str">
        <f>IF(OR(ISBLANK(X18),ISBLANK(Z18)),"N/A",IF(ABS((Z18-X18)/X18)&gt;0.25,"&gt; 25%","ok"))</f>
        <v>N/A</v>
      </c>
      <c r="CB18" s="81"/>
      <c r="CC18" s="98" t="str">
        <f>IF(OR(ISBLANK(Z18),ISBLANK(AB18)),"N/A",IF(ABS((AB18-Z18)/Z18)&gt;0.25,"&gt; 25%","ok"))</f>
        <v>N/A</v>
      </c>
      <c r="CD18" s="116"/>
      <c r="CE18" s="98" t="str">
        <f>IF(OR(ISBLANK(AB18),ISBLANK(AD18)),"N/A",IF(ABS((AD18-AB18)/AB18)&gt;0.25,"&gt; 25%","ok"))</f>
        <v>N/A</v>
      </c>
      <c r="CF18" s="115"/>
      <c r="CG18" s="98" t="str">
        <f>IF(OR(ISBLANK(AD18),ISBLANK(AF18)),"N/A",IF(ABS((AF18-AD18)/AD18)&gt;0.25,"&gt; 25%","ok"))</f>
        <v>N/A</v>
      </c>
      <c r="CH18" s="81"/>
      <c r="CI18" s="98" t="str">
        <f>IF(OR(ISBLANK(AF18),ISBLANK(AH18)),"N/A",IF(ABS((AH18-AF18)/AF18)&gt;0.25,"&gt; 25%","ok"))</f>
        <v>N/A</v>
      </c>
      <c r="CJ18" s="116"/>
      <c r="CK18" s="98" t="str">
        <f>IF(OR(ISBLANK(AH18),ISBLANK(AJ18)),"N/A",IF(ABS((AJ18-AH18)/AH18)&gt;0.25,"&gt; 25%","ok"))</f>
        <v>N/A</v>
      </c>
      <c r="CL18" s="81"/>
      <c r="CM18" s="98" t="str">
        <f>IF(OR(ISBLANK(AJ18),ISBLANK(AL18)),"N/A",IF(ABS((AL18-AJ18)/AJ18)&gt;0.25,"&gt; 25%","ok"))</f>
        <v>N/A</v>
      </c>
      <c r="CN18" s="81"/>
      <c r="CO18" s="98" t="str">
        <f>IF(OR(ISBLANK(AL18),ISBLANK(AN18)),"N/A",IF(ABS((AN18-AL18)/AL18)&gt;0.25,"&gt; 25%","ok"))</f>
        <v>N/A</v>
      </c>
      <c r="CP18" s="115"/>
      <c r="CQ18" s="98" t="str">
        <f>IF(OR(ISBLANK(AN18),ISBLANK(AP18)),"N/A",IF(ABS((AP18-AN18)/AN18)&gt;0.25,"&gt; 25%","ok"))</f>
        <v>N/A</v>
      </c>
      <c r="CR18" s="115"/>
      <c r="CS18" s="98" t="str">
        <f>IF(OR(ISBLANK(AP18),ISBLANK(AR18)),"N/A",IF(ABS((AR18-AP18)/AP18)&gt;0.25,"&gt; 25%","ok"))</f>
        <v>N/A</v>
      </c>
      <c r="CT18" s="81"/>
      <c r="CU18" s="98" t="str">
        <f>IF(OR(ISBLANK(AR18),ISBLANK(AT18)),"N/A",IF(ABS((AT18-AR18)/AR18)&gt;0.25,"&gt; 25%","ok"))</f>
        <v>N/A</v>
      </c>
      <c r="CV18" s="116"/>
      <c r="CW18" s="98" t="str">
        <f>IF(OR(ISBLANK(AT18),ISBLANK(AV18)),"N/A",IF(ABS((AV18-AT18)/AT18)&gt;0.25,"&gt; 25%","ok"))</f>
        <v>N/A</v>
      </c>
      <c r="CX18" s="81"/>
      <c r="CY18" s="98" t="str">
        <f>IF(OR(ISBLANK(AV18),ISBLANK(AX18)),"N/A",IF(ABS((AX18-AV18)/AV18)&gt;0.25,"&gt; 25%","ok"))</f>
        <v>N/A</v>
      </c>
      <c r="CZ18" s="116"/>
      <c r="DA18" s="98" t="str">
        <f t="shared" si="21"/>
        <v>N/A</v>
      </c>
    </row>
    <row r="19" spans="1:105" ht="18.95" customHeight="1" x14ac:dyDescent="0.2">
      <c r="B19" s="257">
        <v>98</v>
      </c>
      <c r="C19" s="394">
        <v>12</v>
      </c>
      <c r="D19" s="468" t="s">
        <v>533</v>
      </c>
      <c r="E19" s="394" t="s">
        <v>206</v>
      </c>
      <c r="F19" s="573"/>
      <c r="G19" s="594"/>
      <c r="H19" s="573"/>
      <c r="I19" s="594"/>
      <c r="J19" s="573"/>
      <c r="K19" s="594"/>
      <c r="L19" s="573"/>
      <c r="M19" s="594"/>
      <c r="N19" s="573"/>
      <c r="O19" s="594"/>
      <c r="P19" s="573"/>
      <c r="Q19" s="594"/>
      <c r="R19" s="573"/>
      <c r="S19" s="594"/>
      <c r="T19" s="573"/>
      <c r="U19" s="594"/>
      <c r="V19" s="573"/>
      <c r="W19" s="594"/>
      <c r="X19" s="573"/>
      <c r="Y19" s="594"/>
      <c r="Z19" s="573"/>
      <c r="AA19" s="594"/>
      <c r="AB19" s="573"/>
      <c r="AC19" s="594"/>
      <c r="AD19" s="573"/>
      <c r="AE19" s="594"/>
      <c r="AF19" s="573"/>
      <c r="AG19" s="594"/>
      <c r="AH19" s="573"/>
      <c r="AI19" s="594"/>
      <c r="AJ19" s="573"/>
      <c r="AK19" s="594"/>
      <c r="AL19" s="573"/>
      <c r="AM19" s="594"/>
      <c r="AN19" s="573"/>
      <c r="AO19" s="594"/>
      <c r="AP19" s="573"/>
      <c r="AQ19" s="594"/>
      <c r="AR19" s="692"/>
      <c r="AS19" s="594"/>
      <c r="AT19" s="573"/>
      <c r="AU19" s="594"/>
      <c r="AV19" s="573"/>
      <c r="AW19" s="594"/>
      <c r="AX19" s="573"/>
      <c r="AY19" s="594"/>
      <c r="AZ19" s="573"/>
      <c r="BA19" s="594"/>
      <c r="BD19" s="81">
        <v>12</v>
      </c>
      <c r="BE19" s="471" t="s">
        <v>470</v>
      </c>
      <c r="BF19" s="81" t="s">
        <v>609</v>
      </c>
      <c r="BG19" s="117" t="s">
        <v>466</v>
      </c>
      <c r="BH19" s="116"/>
      <c r="BI19" s="98" t="str">
        <f t="shared" si="22"/>
        <v>N/A</v>
      </c>
      <c r="BJ19" s="115"/>
      <c r="BK19" s="98" t="str">
        <f t="shared" si="0"/>
        <v>N/A</v>
      </c>
      <c r="BL19" s="116"/>
      <c r="BM19" s="98" t="str">
        <f t="shared" si="1"/>
        <v>N/A</v>
      </c>
      <c r="BN19" s="116"/>
      <c r="BO19" s="98" t="str">
        <f t="shared" si="2"/>
        <v>N/A</v>
      </c>
      <c r="BP19" s="116"/>
      <c r="BQ19" s="98" t="str">
        <f t="shared" si="3"/>
        <v>N/A</v>
      </c>
      <c r="BR19" s="116"/>
      <c r="BS19" s="98" t="str">
        <f>IF(OR(ISBLANK(P19),ISBLANK(R19)),"N/A",IF(ABS((R19-P19)/P19)&gt;0.25,"&gt; 25%","ok"))</f>
        <v>N/A</v>
      </c>
      <c r="BT19" s="116"/>
      <c r="BU19" s="98" t="str">
        <f>IF(OR(ISBLANK(R19),ISBLANK(T19)),"N/A",IF(ABS((T19-R19)/R19)&gt;0.25,"&gt; 25%","ok"))</f>
        <v>N/A</v>
      </c>
      <c r="BV19" s="115"/>
      <c r="BW19" s="98" t="str">
        <f>IF(OR(ISBLANK(T19),ISBLANK(V19)),"N/A",IF(ABS((V19-T19)/T19)&gt;0.25,"&gt; 25%","ok"))</f>
        <v>N/A</v>
      </c>
      <c r="BX19" s="81"/>
      <c r="BY19" s="98" t="str">
        <f>IF(OR(ISBLANK(V19),ISBLANK(X19)),"N/A",IF(ABS((X19-V19)/V19)&gt;0.25,"&gt; 25%","ok"))</f>
        <v>N/A</v>
      </c>
      <c r="BZ19" s="115"/>
      <c r="CA19" s="98" t="str">
        <f>IF(OR(ISBLANK(X19),ISBLANK(Z19)),"N/A",IF(ABS((Z19-X19)/X19)&gt;0.25,"&gt; 25%","ok"))</f>
        <v>N/A</v>
      </c>
      <c r="CB19" s="81"/>
      <c r="CC19" s="98" t="str">
        <f>IF(OR(ISBLANK(Z19),ISBLANK(AB19)),"N/A",IF(ABS((AB19-Z19)/Z19)&gt;0.25,"&gt; 25%","ok"))</f>
        <v>N/A</v>
      </c>
      <c r="CD19" s="116"/>
      <c r="CE19" s="98" t="str">
        <f>IF(OR(ISBLANK(AB19),ISBLANK(AD19)),"N/A",IF(ABS((AD19-AB19)/AB19)&gt;0.25,"&gt; 25%","ok"))</f>
        <v>N/A</v>
      </c>
      <c r="CF19" s="115"/>
      <c r="CG19" s="98" t="str">
        <f>IF(OR(ISBLANK(AD19),ISBLANK(AF19)),"N/A",IF(ABS((AF19-AD19)/AD19)&gt;0.25,"&gt; 25%","ok"))</f>
        <v>N/A</v>
      </c>
      <c r="CH19" s="81"/>
      <c r="CI19" s="98" t="str">
        <f>IF(OR(ISBLANK(AF19),ISBLANK(AH19)),"N/A",IF(ABS((AH19-AF19)/AF19)&gt;0.25,"&gt; 25%","ok"))</f>
        <v>N/A</v>
      </c>
      <c r="CJ19" s="116"/>
      <c r="CK19" s="98" t="str">
        <f>IF(OR(ISBLANK(AH19),ISBLANK(AJ19)),"N/A",IF(ABS((AJ19-AH19)/AH19)&gt;0.25,"&gt; 25%","ok"))</f>
        <v>N/A</v>
      </c>
      <c r="CL19" s="81"/>
      <c r="CM19" s="98" t="str">
        <f>IF(OR(ISBLANK(AJ19),ISBLANK(AL19)),"N/A",IF(ABS((AL19-AJ19)/AJ19)&gt;0.25,"&gt; 25%","ok"))</f>
        <v>N/A</v>
      </c>
      <c r="CN19" s="81"/>
      <c r="CO19" s="98" t="str">
        <f>IF(OR(ISBLANK(AL19),ISBLANK(AN19)),"N/A",IF(ABS((AN19-AL19)/AL19)&gt;0.25,"&gt; 25%","ok"))</f>
        <v>N/A</v>
      </c>
      <c r="CP19" s="115"/>
      <c r="CQ19" s="98" t="str">
        <f>IF(OR(ISBLANK(AN19),ISBLANK(AP19)),"N/A",IF(ABS((AP19-AN19)/AN19)&gt;0.25,"&gt; 25%","ok"))</f>
        <v>N/A</v>
      </c>
      <c r="CR19" s="115"/>
      <c r="CS19" s="98" t="str">
        <f>IF(OR(ISBLANK(AP19),ISBLANK(AR19)),"N/A",IF(ABS((AR19-AP19)/AP19)&gt;0.25,"&gt; 25%","ok"))</f>
        <v>N/A</v>
      </c>
      <c r="CT19" s="81"/>
      <c r="CU19" s="98" t="str">
        <f>IF(OR(ISBLANK(AR19),ISBLANK(AT19)),"N/A",IF(ABS((AT19-AR19)/AR19)&gt;0.25,"&gt; 25%","ok"))</f>
        <v>N/A</v>
      </c>
      <c r="CV19" s="116"/>
      <c r="CW19" s="98" t="str">
        <f>IF(OR(ISBLANK(AT19),ISBLANK(AV19)),"N/A",IF(ABS((AV19-AT19)/AT19)&gt;0.25,"&gt; 25%","ok"))</f>
        <v>N/A</v>
      </c>
      <c r="CX19" s="81"/>
      <c r="CY19" s="98" t="str">
        <f>IF(OR(ISBLANK(AV19),ISBLANK(AX19)),"N/A",IF(ABS((AX19-AV19)/AV19)&gt;0.25,"&gt; 25%","ok"))</f>
        <v>N/A</v>
      </c>
      <c r="CZ19" s="116"/>
      <c r="DA19" s="98" t="str">
        <f t="shared" si="21"/>
        <v>N/A</v>
      </c>
    </row>
    <row r="20" spans="1:105" ht="18.95" customHeight="1" x14ac:dyDescent="0.2">
      <c r="B20" s="257">
        <v>102</v>
      </c>
      <c r="C20" s="394">
        <v>13</v>
      </c>
      <c r="D20" s="468" t="s">
        <v>534</v>
      </c>
      <c r="E20" s="394" t="s">
        <v>206</v>
      </c>
      <c r="F20" s="573"/>
      <c r="G20" s="594"/>
      <c r="H20" s="573"/>
      <c r="I20" s="594"/>
      <c r="J20" s="573"/>
      <c r="K20" s="594"/>
      <c r="L20" s="573"/>
      <c r="M20" s="594"/>
      <c r="N20" s="573"/>
      <c r="O20" s="594"/>
      <c r="P20" s="573"/>
      <c r="Q20" s="594"/>
      <c r="R20" s="573"/>
      <c r="S20" s="594"/>
      <c r="T20" s="573"/>
      <c r="U20" s="594"/>
      <c r="V20" s="573"/>
      <c r="W20" s="594"/>
      <c r="X20" s="573"/>
      <c r="Y20" s="594"/>
      <c r="Z20" s="573"/>
      <c r="AA20" s="594"/>
      <c r="AB20" s="573"/>
      <c r="AC20" s="594"/>
      <c r="AD20" s="573"/>
      <c r="AE20" s="594"/>
      <c r="AF20" s="573"/>
      <c r="AG20" s="594"/>
      <c r="AH20" s="573"/>
      <c r="AI20" s="594"/>
      <c r="AJ20" s="573"/>
      <c r="AK20" s="594"/>
      <c r="AL20" s="573"/>
      <c r="AM20" s="594"/>
      <c r="AN20" s="573"/>
      <c r="AO20" s="594"/>
      <c r="AP20" s="573"/>
      <c r="AQ20" s="594"/>
      <c r="AR20" s="692"/>
      <c r="AS20" s="594"/>
      <c r="AT20" s="573"/>
      <c r="AU20" s="594"/>
      <c r="AV20" s="573"/>
      <c r="AW20" s="594"/>
      <c r="AX20" s="573"/>
      <c r="AY20" s="594"/>
      <c r="AZ20" s="573"/>
      <c r="BA20" s="594"/>
      <c r="BD20" s="81">
        <v>13</v>
      </c>
      <c r="BE20" s="471" t="s">
        <v>471</v>
      </c>
      <c r="BF20" s="81" t="s">
        <v>609</v>
      </c>
      <c r="BG20" s="117" t="s">
        <v>466</v>
      </c>
      <c r="BH20" s="116"/>
      <c r="BI20" s="98" t="str">
        <f t="shared" si="22"/>
        <v>N/A</v>
      </c>
      <c r="BJ20" s="115"/>
      <c r="BK20" s="98" t="str">
        <f t="shared" si="0"/>
        <v>N/A</v>
      </c>
      <c r="BL20" s="117"/>
      <c r="BM20" s="98" t="str">
        <f t="shared" si="1"/>
        <v>N/A</v>
      </c>
      <c r="BN20" s="117"/>
      <c r="BO20" s="98" t="str">
        <f t="shared" si="2"/>
        <v>N/A</v>
      </c>
      <c r="BP20" s="117"/>
      <c r="BQ20" s="98" t="str">
        <f t="shared" si="3"/>
        <v>N/A</v>
      </c>
      <c r="BR20" s="117"/>
      <c r="BS20" s="98" t="str">
        <f>IF(OR(ISBLANK(P20),ISBLANK(R20)),"N/A",IF(ABS((R20-P20)/P20)&gt;0.25,"&gt; 25%","ok"))</f>
        <v>N/A</v>
      </c>
      <c r="BT20" s="117"/>
      <c r="BU20" s="98" t="str">
        <f>IF(OR(ISBLANK(R20),ISBLANK(T20)),"N/A",IF(ABS((T20-R20)/R20)&gt;0.25,"&gt; 25%","ok"))</f>
        <v>N/A</v>
      </c>
      <c r="BV20" s="115"/>
      <c r="BW20" s="98" t="str">
        <f>IF(OR(ISBLANK(T20),ISBLANK(V20)),"N/A",IF(ABS((V20-T20)/T20)&gt;0.25,"&gt; 25%","ok"))</f>
        <v>N/A</v>
      </c>
      <c r="BX20" s="81"/>
      <c r="BY20" s="98" t="str">
        <f>IF(OR(ISBLANK(V20),ISBLANK(X20)),"N/A",IF(ABS((X20-V20)/V20)&gt;0.25,"&gt; 25%","ok"))</f>
        <v>N/A</v>
      </c>
      <c r="BZ20" s="115"/>
      <c r="CA20" s="98" t="str">
        <f>IF(OR(ISBLANK(X20),ISBLANK(Z20)),"N/A",IF(ABS((Z20-X20)/X20)&gt;0.25,"&gt; 25%","ok"))</f>
        <v>N/A</v>
      </c>
      <c r="CB20" s="81"/>
      <c r="CC20" s="98" t="str">
        <f>IF(OR(ISBLANK(Z20),ISBLANK(AB20)),"N/A",IF(ABS((AB20-Z20)/Z20)&gt;0.25,"&gt; 25%","ok"))</f>
        <v>N/A</v>
      </c>
      <c r="CD20" s="116"/>
      <c r="CE20" s="98" t="str">
        <f>IF(OR(ISBLANK(AB20),ISBLANK(AD20)),"N/A",IF(ABS((AD20-AB20)/AB20)&gt;0.25,"&gt; 25%","ok"))</f>
        <v>N/A</v>
      </c>
      <c r="CF20" s="115"/>
      <c r="CG20" s="98" t="str">
        <f>IF(OR(ISBLANK(AD20),ISBLANK(AF20)),"N/A",IF(ABS((AF20-AD20)/AD20)&gt;0.25,"&gt; 25%","ok"))</f>
        <v>N/A</v>
      </c>
      <c r="CH20" s="81"/>
      <c r="CI20" s="98" t="str">
        <f>IF(OR(ISBLANK(AF20),ISBLANK(AH20)),"N/A",IF(ABS((AH20-AF20)/AF20)&gt;0.25,"&gt; 25%","ok"))</f>
        <v>N/A</v>
      </c>
      <c r="CJ20" s="116"/>
      <c r="CK20" s="98" t="str">
        <f>IF(OR(ISBLANK(AH20),ISBLANK(AJ20)),"N/A",IF(ABS((AJ20-AH20)/AH20)&gt;0.25,"&gt; 25%","ok"))</f>
        <v>N/A</v>
      </c>
      <c r="CL20" s="81"/>
      <c r="CM20" s="98" t="str">
        <f>IF(OR(ISBLANK(AJ20),ISBLANK(AL20)),"N/A",IF(ABS((AL20-AJ20)/AJ20)&gt;0.25,"&gt; 25%","ok"))</f>
        <v>N/A</v>
      </c>
      <c r="CN20" s="81"/>
      <c r="CO20" s="98" t="str">
        <f>IF(OR(ISBLANK(AL20),ISBLANK(AN20)),"N/A",IF(ABS((AN20-AL20)/AL20)&gt;0.25,"&gt; 25%","ok"))</f>
        <v>N/A</v>
      </c>
      <c r="CP20" s="115"/>
      <c r="CQ20" s="98" t="str">
        <f>IF(OR(ISBLANK(AN20),ISBLANK(AP20)),"N/A",IF(ABS((AP20-AN20)/AN20)&gt;0.25,"&gt; 25%","ok"))</f>
        <v>N/A</v>
      </c>
      <c r="CR20" s="115"/>
      <c r="CS20" s="98" t="str">
        <f>IF(OR(ISBLANK(AP20),ISBLANK(AR20)),"N/A",IF(ABS((AR20-AP20)/AP20)&gt;0.25,"&gt; 25%","ok"))</f>
        <v>N/A</v>
      </c>
      <c r="CT20" s="81"/>
      <c r="CU20" s="98" t="str">
        <f>IF(OR(ISBLANK(AR20),ISBLANK(AT20)),"N/A",IF(ABS((AT20-AR20)/AR20)&gt;0.25,"&gt; 25%","ok"))</f>
        <v>N/A</v>
      </c>
      <c r="CV20" s="116"/>
      <c r="CW20" s="98" t="str">
        <f>IF(OR(ISBLANK(AT20),ISBLANK(AV20)),"N/A",IF(ABS((AV20-AT20)/AT20)&gt;0.25,"&gt; 25%","ok"))</f>
        <v>N/A</v>
      </c>
      <c r="CX20" s="81"/>
      <c r="CY20" s="98" t="str">
        <f>IF(OR(ISBLANK(AV20),ISBLANK(AX20)),"N/A",IF(ABS((AX20-AV20)/AV20)&gt;0.25,"&gt; 25%","ok"))</f>
        <v>N/A</v>
      </c>
      <c r="CZ20" s="116"/>
      <c r="DA20" s="98" t="str">
        <f t="shared" si="21"/>
        <v>N/A</v>
      </c>
    </row>
    <row r="21" spans="1:105" ht="26.1" customHeight="1" x14ac:dyDescent="0.2">
      <c r="B21" s="257">
        <v>109</v>
      </c>
      <c r="C21" s="394">
        <v>14</v>
      </c>
      <c r="D21" s="274" t="s">
        <v>535</v>
      </c>
      <c r="E21" s="394" t="s">
        <v>206</v>
      </c>
      <c r="F21" s="573"/>
      <c r="G21" s="594"/>
      <c r="H21" s="573"/>
      <c r="I21" s="594"/>
      <c r="J21" s="573"/>
      <c r="K21" s="594"/>
      <c r="L21" s="573"/>
      <c r="M21" s="594"/>
      <c r="N21" s="573"/>
      <c r="O21" s="594"/>
      <c r="P21" s="573"/>
      <c r="Q21" s="594"/>
      <c r="R21" s="573"/>
      <c r="S21" s="594"/>
      <c r="T21" s="573"/>
      <c r="U21" s="594"/>
      <c r="V21" s="573"/>
      <c r="W21" s="594"/>
      <c r="X21" s="573"/>
      <c r="Y21" s="594"/>
      <c r="Z21" s="573"/>
      <c r="AA21" s="594"/>
      <c r="AB21" s="573"/>
      <c r="AC21" s="594"/>
      <c r="AD21" s="573"/>
      <c r="AE21" s="594"/>
      <c r="AF21" s="573"/>
      <c r="AG21" s="594"/>
      <c r="AH21" s="573"/>
      <c r="AI21" s="594"/>
      <c r="AJ21" s="573"/>
      <c r="AK21" s="594"/>
      <c r="AL21" s="573"/>
      <c r="AM21" s="594"/>
      <c r="AN21" s="573"/>
      <c r="AO21" s="594"/>
      <c r="AP21" s="573"/>
      <c r="AQ21" s="594"/>
      <c r="AR21" s="692"/>
      <c r="AS21" s="594"/>
      <c r="AT21" s="573">
        <f>[1]OFERTA_2014!$BM$33</f>
        <v>232.60608700061067</v>
      </c>
      <c r="AU21" s="594" t="s">
        <v>681</v>
      </c>
      <c r="AV21" s="573">
        <f>[1]OFERTA_2015!$BM$33</f>
        <v>230.79079235534786</v>
      </c>
      <c r="AW21" s="594" t="s">
        <v>681</v>
      </c>
      <c r="AX21" s="573">
        <f>[1]OFERTA_2016p!$BM$33</f>
        <v>238.6235331576091</v>
      </c>
      <c r="AY21" s="594" t="s">
        <v>681</v>
      </c>
      <c r="AZ21" s="573"/>
      <c r="BA21" s="594"/>
      <c r="BD21" s="81">
        <v>14</v>
      </c>
      <c r="BE21" s="269" t="s">
        <v>472</v>
      </c>
      <c r="BF21" s="81" t="s">
        <v>609</v>
      </c>
      <c r="BG21" s="117" t="s">
        <v>466</v>
      </c>
      <c r="BH21" s="116"/>
      <c r="BI21" s="98" t="str">
        <f t="shared" si="22"/>
        <v>N/A</v>
      </c>
      <c r="BJ21" s="115"/>
      <c r="BK21" s="98" t="str">
        <f t="shared" si="0"/>
        <v>N/A</v>
      </c>
      <c r="BL21" s="117"/>
      <c r="BM21" s="98" t="str">
        <f t="shared" si="1"/>
        <v>N/A</v>
      </c>
      <c r="BN21" s="117"/>
      <c r="BO21" s="98" t="str">
        <f t="shared" si="2"/>
        <v>N/A</v>
      </c>
      <c r="BP21" s="117"/>
      <c r="BQ21" s="98" t="str">
        <f t="shared" si="3"/>
        <v>N/A</v>
      </c>
      <c r="BR21" s="117"/>
      <c r="BS21" s="98" t="str">
        <f>IF(OR(ISBLANK(P21),ISBLANK(R21)),"N/A",IF(ABS((R21-P21)/P21)&gt;0.25,"&gt; 25%","ok"))</f>
        <v>N/A</v>
      </c>
      <c r="BT21" s="117"/>
      <c r="BU21" s="98" t="str">
        <f>IF(OR(ISBLANK(R21),ISBLANK(T21)),"N/A",IF(ABS((T21-R21)/R21)&gt;0.25,"&gt; 25%","ok"))</f>
        <v>N/A</v>
      </c>
      <c r="BV21" s="81"/>
      <c r="BW21" s="98" t="str">
        <f>IF(OR(ISBLANK(T21),ISBLANK(V21)),"N/A",IF(ABS((V21-T21)/T21)&gt;0.25,"&gt; 25%","ok"))</f>
        <v>N/A</v>
      </c>
      <c r="BX21" s="81"/>
      <c r="BY21" s="98" t="str">
        <f>IF(OR(ISBLANK(V21),ISBLANK(X21)),"N/A",IF(ABS((X21-V21)/V21)&gt;0.25,"&gt; 25%","ok"))</f>
        <v>N/A</v>
      </c>
      <c r="BZ21" s="115"/>
      <c r="CA21" s="98" t="str">
        <f>IF(OR(ISBLANK(X21),ISBLANK(Z21)),"N/A",IF(ABS((Z21-X21)/X21)&gt;0.25,"&gt; 25%","ok"))</f>
        <v>N/A</v>
      </c>
      <c r="CB21" s="81"/>
      <c r="CC21" s="98" t="str">
        <f>IF(OR(ISBLANK(Z21),ISBLANK(AB21)),"N/A",IF(ABS((AB21-Z21)/Z21)&gt;0.25,"&gt; 25%","ok"))</f>
        <v>N/A</v>
      </c>
      <c r="CD21" s="116"/>
      <c r="CE21" s="98" t="str">
        <f>IF(OR(ISBLANK(AB21),ISBLANK(AD21)),"N/A",IF(ABS((AD21-AB21)/AB21)&gt;0.25,"&gt; 25%","ok"))</f>
        <v>N/A</v>
      </c>
      <c r="CF21" s="115"/>
      <c r="CG21" s="98" t="str">
        <f>IF(OR(ISBLANK(AD21),ISBLANK(AF21)),"N/A",IF(ABS((AF21-AD21)/AD21)&gt;0.25,"&gt; 25%","ok"))</f>
        <v>N/A</v>
      </c>
      <c r="CH21" s="81"/>
      <c r="CI21" s="98" t="str">
        <f>IF(OR(ISBLANK(AF21),ISBLANK(AH21)),"N/A",IF(ABS((AH21-AF21)/AF21)&gt;0.25,"&gt; 25%","ok"))</f>
        <v>N/A</v>
      </c>
      <c r="CJ21" s="116"/>
      <c r="CK21" s="98" t="str">
        <f>IF(OR(ISBLANK(AH21),ISBLANK(AJ21)),"N/A",IF(ABS((AJ21-AH21)/AH21)&gt;0.25,"&gt; 25%","ok"))</f>
        <v>N/A</v>
      </c>
      <c r="CL21" s="81"/>
      <c r="CM21" s="98" t="str">
        <f>IF(OR(ISBLANK(AJ21),ISBLANK(AL21)),"N/A",IF(ABS((AL21-AJ21)/AJ21)&gt;0.25,"&gt; 25%","ok"))</f>
        <v>N/A</v>
      </c>
      <c r="CN21" s="81"/>
      <c r="CO21" s="98" t="str">
        <f>IF(OR(ISBLANK(AL21),ISBLANK(AN21)),"N/A",IF(ABS((AN21-AL21)/AL21)&gt;0.25,"&gt; 25%","ok"))</f>
        <v>N/A</v>
      </c>
      <c r="CP21" s="115"/>
      <c r="CQ21" s="98" t="str">
        <f>IF(OR(ISBLANK(AN21),ISBLANK(AP21)),"N/A",IF(ABS((AP21-AN21)/AN21)&gt;0.25,"&gt; 25%","ok"))</f>
        <v>N/A</v>
      </c>
      <c r="CR21" s="115"/>
      <c r="CS21" s="98" t="str">
        <f>IF(OR(ISBLANK(AP21),ISBLANK(AR21)),"N/A",IF(ABS((AR21-AP21)/AP21)&gt;0.25,"&gt; 25%","ok"))</f>
        <v>N/A</v>
      </c>
      <c r="CT21" s="81"/>
      <c r="CU21" s="98" t="str">
        <f>IF(OR(ISBLANK(AR21),ISBLANK(AT21)),"N/A",IF(ABS((AT21-AR21)/AR21)&gt;0.25,"&gt; 25%","ok"))</f>
        <v>N/A</v>
      </c>
      <c r="CV21" s="116"/>
      <c r="CW21" s="98" t="str">
        <f>IF(OR(ISBLANK(AT21),ISBLANK(AV21)),"N/A",IF(ABS((AV21-AT21)/AT21)&gt;0.25,"&gt; 25%","ok"))</f>
        <v>ok</v>
      </c>
      <c r="CX21" s="81"/>
      <c r="CY21" s="98" t="str">
        <f>IF(OR(ISBLANK(AV21),ISBLANK(AX21)),"N/A",IF(ABS((AX21-AV21)/AV21)&gt;0.25,"&gt; 25%","ok"))</f>
        <v>ok</v>
      </c>
      <c r="CZ21" s="116"/>
      <c r="DA21" s="98" t="str">
        <f t="shared" si="21"/>
        <v>N/A</v>
      </c>
    </row>
    <row r="22" spans="1:105" ht="26.1" customHeight="1" x14ac:dyDescent="0.2">
      <c r="B22" s="257">
        <v>90</v>
      </c>
      <c r="C22" s="394">
        <v>15</v>
      </c>
      <c r="D22" s="507" t="s">
        <v>66</v>
      </c>
      <c r="E22" s="394" t="s">
        <v>206</v>
      </c>
      <c r="F22" s="573"/>
      <c r="G22" s="594"/>
      <c r="H22" s="573"/>
      <c r="I22" s="594"/>
      <c r="J22" s="573"/>
      <c r="K22" s="594"/>
      <c r="L22" s="573"/>
      <c r="M22" s="594"/>
      <c r="N22" s="573"/>
      <c r="O22" s="594"/>
      <c r="P22" s="573"/>
      <c r="Q22" s="594"/>
      <c r="R22" s="573"/>
      <c r="S22" s="594"/>
      <c r="T22" s="573"/>
      <c r="U22" s="594"/>
      <c r="V22" s="573"/>
      <c r="W22" s="594"/>
      <c r="X22" s="573"/>
      <c r="Y22" s="594"/>
      <c r="Z22" s="573"/>
      <c r="AA22" s="594"/>
      <c r="AB22" s="573"/>
      <c r="AC22" s="594"/>
      <c r="AD22" s="573"/>
      <c r="AE22" s="594"/>
      <c r="AF22" s="573"/>
      <c r="AG22" s="594"/>
      <c r="AH22" s="573"/>
      <c r="AI22" s="594"/>
      <c r="AJ22" s="573"/>
      <c r="AK22" s="594"/>
      <c r="AL22" s="573"/>
      <c r="AM22" s="594"/>
      <c r="AN22" s="573"/>
      <c r="AO22" s="594"/>
      <c r="AP22" s="573"/>
      <c r="AQ22" s="594"/>
      <c r="AR22" s="573"/>
      <c r="AS22" s="594"/>
      <c r="AT22" s="573"/>
      <c r="AU22" s="594"/>
      <c r="AV22" s="573"/>
      <c r="AW22" s="594"/>
      <c r="AX22" s="573"/>
      <c r="AY22" s="594"/>
      <c r="AZ22" s="573"/>
      <c r="BA22" s="594"/>
      <c r="BD22" s="81">
        <v>15</v>
      </c>
      <c r="BE22" s="471" t="s">
        <v>612</v>
      </c>
      <c r="BF22" s="81" t="s">
        <v>609</v>
      </c>
      <c r="BG22" s="81" t="s">
        <v>466</v>
      </c>
      <c r="BH22" s="117"/>
      <c r="BI22" s="98" t="str">
        <f>IF(OR(ISBLANK(F22),ISBLANK(H22)),"N/A",IF(ABS((H22-F22)/F22)&gt;1,"&gt; 100%","ok"))</f>
        <v>N/A</v>
      </c>
      <c r="BJ22" s="81"/>
      <c r="BK22" s="98" t="str">
        <f t="shared" si="0"/>
        <v>N/A</v>
      </c>
      <c r="BL22" s="81"/>
      <c r="BM22" s="98" t="str">
        <f>IF(OR(ISBLANK(J22),ISBLANK(L22)),"N/A",IF(ABS((L22-J22)/J22)&gt;0.25,"&gt; 25%","ok"))</f>
        <v>N/A</v>
      </c>
      <c r="BN22" s="81"/>
      <c r="BO22" s="98" t="str">
        <f t="shared" si="2"/>
        <v>N/A</v>
      </c>
      <c r="BP22" s="81"/>
      <c r="BQ22" s="98" t="str">
        <f t="shared" si="3"/>
        <v>N/A</v>
      </c>
      <c r="BR22" s="81"/>
      <c r="BS22" s="98" t="str">
        <f t="shared" ref="BS22:BS27" si="23">IF(OR(ISBLANK(P22),ISBLANK(R22)),"N/A",IF(ABS((R22-P22)/P22)&gt;0.25,"&gt; 25%","ok"))</f>
        <v>N/A</v>
      </c>
      <c r="BT22" s="81"/>
      <c r="BU22" s="98" t="str">
        <f t="shared" ref="BU22:BU27" si="24">IF(OR(ISBLANK(R22),ISBLANK(T22)),"N/A",IF(ABS((T22-R22)/R22)&gt;0.25,"&gt; 25%","ok"))</f>
        <v>N/A</v>
      </c>
      <c r="BV22" s="81"/>
      <c r="BW22" s="98" t="str">
        <f t="shared" ref="BW22:BW27" si="25">IF(OR(ISBLANK(T22),ISBLANK(V22)),"N/A",IF(ABS((V22-T22)/T22)&gt;0.25,"&gt; 25%","ok"))</f>
        <v>N/A</v>
      </c>
      <c r="BX22" s="81"/>
      <c r="BY22" s="98" t="str">
        <f t="shared" ref="BY22:BY27" si="26">IF(OR(ISBLANK(V22),ISBLANK(X22)),"N/A",IF(ABS((X22-V22)/V22)&gt;0.25,"&gt; 25%","ok"))</f>
        <v>N/A</v>
      </c>
      <c r="BZ22" s="115"/>
      <c r="CA22" s="98" t="str">
        <f t="shared" ref="CA22:CA27" si="27">IF(OR(ISBLANK(X22),ISBLANK(Z22)),"N/A",IF(ABS((Z22-X22)/X22)&gt;0.25,"&gt; 25%","ok"))</f>
        <v>N/A</v>
      </c>
      <c r="CB22" s="81"/>
      <c r="CC22" s="98" t="str">
        <f t="shared" ref="CC22:CC27" si="28">IF(OR(ISBLANK(Z22),ISBLANK(AB22)),"N/A",IF(ABS((AB22-Z22)/Z22)&gt;0.25,"&gt; 25%","ok"))</f>
        <v>N/A</v>
      </c>
      <c r="CD22" s="116"/>
      <c r="CE22" s="98" t="str">
        <f t="shared" ref="CE22:CE27" si="29">IF(OR(ISBLANK(AB22),ISBLANK(AD22)),"N/A",IF(ABS((AD22-AB22)/AB22)&gt;0.25,"&gt; 25%","ok"))</f>
        <v>N/A</v>
      </c>
      <c r="CF22" s="115"/>
      <c r="CG22" s="98" t="str">
        <f t="shared" ref="CG22:CG27" si="30">IF(OR(ISBLANK(AD22),ISBLANK(AF22)),"N/A",IF(ABS((AF22-AD22)/AD22)&gt;0.25,"&gt; 25%","ok"))</f>
        <v>N/A</v>
      </c>
      <c r="CH22" s="81"/>
      <c r="CI22" s="98" t="str">
        <f t="shared" ref="CI22:CI27" si="31">IF(OR(ISBLANK(AF22),ISBLANK(AH22)),"N/A",IF(ABS((AH22-AF22)/AF22)&gt;0.25,"&gt; 25%","ok"))</f>
        <v>N/A</v>
      </c>
      <c r="CJ22" s="116"/>
      <c r="CK22" s="98" t="str">
        <f t="shared" ref="CK22:CK27" si="32">IF(OR(ISBLANK(AH22),ISBLANK(AJ22)),"N/A",IF(ABS((AJ22-AH22)/AH22)&gt;0.25,"&gt; 25%","ok"))</f>
        <v>N/A</v>
      </c>
      <c r="CL22" s="81"/>
      <c r="CM22" s="98" t="str">
        <f t="shared" ref="CM22:CM27" si="33">IF(OR(ISBLANK(AJ22),ISBLANK(AL22)),"N/A",IF(ABS((AL22-AJ22)/AJ22)&gt;0.25,"&gt; 25%","ok"))</f>
        <v>N/A</v>
      </c>
      <c r="CN22" s="81"/>
      <c r="CO22" s="98" t="str">
        <f t="shared" ref="CO22:CO27" si="34">IF(OR(ISBLANK(AL22),ISBLANK(AN22)),"N/A",IF(ABS((AN22-AL22)/AL22)&gt;0.25,"&gt; 25%","ok"))</f>
        <v>N/A</v>
      </c>
      <c r="CP22" s="115"/>
      <c r="CQ22" s="98" t="str">
        <f t="shared" ref="CQ22:CQ27" si="35">IF(OR(ISBLANK(AN22),ISBLANK(AP22)),"N/A",IF(ABS((AP22-AN22)/AN22)&gt;0.25,"&gt; 25%","ok"))</f>
        <v>N/A</v>
      </c>
      <c r="CR22" s="115"/>
      <c r="CS22" s="98" t="str">
        <f t="shared" ref="CS22:CS27" si="36">IF(OR(ISBLANK(AP22),ISBLANK(AR22)),"N/A",IF(ABS((AR22-AP22)/AP22)&gt;0.25,"&gt; 25%","ok"))</f>
        <v>N/A</v>
      </c>
      <c r="CT22" s="81"/>
      <c r="CU22" s="98" t="str">
        <f t="shared" ref="CU22:CU27" si="37">IF(OR(ISBLANK(AR22),ISBLANK(AT22)),"N/A",IF(ABS((AT22-AR22)/AR22)&gt;0.25,"&gt; 25%","ok"))</f>
        <v>N/A</v>
      </c>
      <c r="CV22" s="116"/>
      <c r="CW22" s="98" t="str">
        <f t="shared" ref="CW22:CW27" si="38">IF(OR(ISBLANK(AT22),ISBLANK(AV22)),"N/A",IF(ABS((AV22-AT22)/AT22)&gt;0.25,"&gt; 25%","ok"))</f>
        <v>N/A</v>
      </c>
      <c r="CX22" s="81"/>
      <c r="CY22" s="98" t="str">
        <f t="shared" ref="CY22:CY27" si="39">IF(OR(ISBLANK(AV22),ISBLANK(AX22)),"N/A",IF(ABS((AX22-AV22)/AV22)&gt;0.25,"&gt; 25%","ok"))</f>
        <v>N/A</v>
      </c>
      <c r="CZ22" s="116"/>
      <c r="DA22" s="98" t="str">
        <f t="shared" si="21"/>
        <v>N/A</v>
      </c>
    </row>
    <row r="23" spans="1:105" ht="18.95" customHeight="1" x14ac:dyDescent="0.2">
      <c r="B23" s="257">
        <v>91</v>
      </c>
      <c r="C23" s="394">
        <v>16</v>
      </c>
      <c r="D23" s="468" t="s">
        <v>533</v>
      </c>
      <c r="E23" s="394" t="s">
        <v>206</v>
      </c>
      <c r="F23" s="573"/>
      <c r="G23" s="594"/>
      <c r="H23" s="573"/>
      <c r="I23" s="594"/>
      <c r="J23" s="573"/>
      <c r="K23" s="594"/>
      <c r="L23" s="573"/>
      <c r="M23" s="594"/>
      <c r="N23" s="573"/>
      <c r="O23" s="594"/>
      <c r="P23" s="573"/>
      <c r="Q23" s="594"/>
      <c r="R23" s="573"/>
      <c r="S23" s="594"/>
      <c r="T23" s="573"/>
      <c r="U23" s="594"/>
      <c r="V23" s="573"/>
      <c r="W23" s="594"/>
      <c r="X23" s="573"/>
      <c r="Y23" s="594"/>
      <c r="Z23" s="573"/>
      <c r="AA23" s="594"/>
      <c r="AB23" s="573"/>
      <c r="AC23" s="594"/>
      <c r="AD23" s="573"/>
      <c r="AE23" s="594"/>
      <c r="AF23" s="573"/>
      <c r="AG23" s="594"/>
      <c r="AH23" s="573"/>
      <c r="AI23" s="594"/>
      <c r="AJ23" s="573"/>
      <c r="AK23" s="594"/>
      <c r="AL23" s="573"/>
      <c r="AM23" s="594"/>
      <c r="AN23" s="573"/>
      <c r="AO23" s="594"/>
      <c r="AP23" s="573"/>
      <c r="AQ23" s="594"/>
      <c r="AR23" s="573"/>
      <c r="AS23" s="594"/>
      <c r="AT23" s="573"/>
      <c r="AU23" s="594"/>
      <c r="AV23" s="573"/>
      <c r="AW23" s="594"/>
      <c r="AX23" s="573"/>
      <c r="AY23" s="594"/>
      <c r="AZ23" s="573"/>
      <c r="BA23" s="594"/>
      <c r="BD23" s="81">
        <v>16</v>
      </c>
      <c r="BE23" s="471" t="s">
        <v>470</v>
      </c>
      <c r="BF23" s="81" t="s">
        <v>609</v>
      </c>
      <c r="BG23" s="81" t="s">
        <v>466</v>
      </c>
      <c r="BH23" s="117"/>
      <c r="BI23" s="98" t="str">
        <f t="shared" si="22"/>
        <v>N/A</v>
      </c>
      <c r="BJ23" s="81"/>
      <c r="BK23" s="98" t="str">
        <f t="shared" si="0"/>
        <v>N/A</v>
      </c>
      <c r="BL23" s="81"/>
      <c r="BM23" s="98" t="str">
        <f t="shared" si="1"/>
        <v>N/A</v>
      </c>
      <c r="BN23" s="81"/>
      <c r="BO23" s="98" t="str">
        <f t="shared" si="2"/>
        <v>N/A</v>
      </c>
      <c r="BP23" s="81"/>
      <c r="BQ23" s="98" t="str">
        <f t="shared" si="3"/>
        <v>N/A</v>
      </c>
      <c r="BR23" s="81"/>
      <c r="BS23" s="98" t="str">
        <f t="shared" si="23"/>
        <v>N/A</v>
      </c>
      <c r="BT23" s="81"/>
      <c r="BU23" s="98" t="str">
        <f t="shared" si="24"/>
        <v>N/A</v>
      </c>
      <c r="BV23" s="81"/>
      <c r="BW23" s="98" t="str">
        <f t="shared" si="25"/>
        <v>N/A</v>
      </c>
      <c r="BX23" s="81"/>
      <c r="BY23" s="98" t="str">
        <f t="shared" si="26"/>
        <v>N/A</v>
      </c>
      <c r="BZ23" s="115"/>
      <c r="CA23" s="98" t="str">
        <f t="shared" si="27"/>
        <v>N/A</v>
      </c>
      <c r="CB23" s="81"/>
      <c r="CC23" s="98" t="str">
        <f t="shared" si="28"/>
        <v>N/A</v>
      </c>
      <c r="CD23" s="117"/>
      <c r="CE23" s="98" t="str">
        <f t="shared" si="29"/>
        <v>N/A</v>
      </c>
      <c r="CF23" s="115"/>
      <c r="CG23" s="98" t="str">
        <f t="shared" si="30"/>
        <v>N/A</v>
      </c>
      <c r="CH23" s="81"/>
      <c r="CI23" s="98" t="str">
        <f t="shared" si="31"/>
        <v>N/A</v>
      </c>
      <c r="CJ23" s="117"/>
      <c r="CK23" s="98" t="str">
        <f t="shared" si="32"/>
        <v>N/A</v>
      </c>
      <c r="CL23" s="81"/>
      <c r="CM23" s="98" t="str">
        <f t="shared" si="33"/>
        <v>N/A</v>
      </c>
      <c r="CN23" s="81"/>
      <c r="CO23" s="98" t="str">
        <f t="shared" si="34"/>
        <v>N/A</v>
      </c>
      <c r="CP23" s="115"/>
      <c r="CQ23" s="98" t="str">
        <f t="shared" si="35"/>
        <v>N/A</v>
      </c>
      <c r="CR23" s="115"/>
      <c r="CS23" s="98" t="str">
        <f t="shared" si="36"/>
        <v>N/A</v>
      </c>
      <c r="CT23" s="81"/>
      <c r="CU23" s="98" t="str">
        <f t="shared" si="37"/>
        <v>N/A</v>
      </c>
      <c r="CV23" s="117"/>
      <c r="CW23" s="98" t="str">
        <f t="shared" si="38"/>
        <v>N/A</v>
      </c>
      <c r="CX23" s="81"/>
      <c r="CY23" s="98" t="str">
        <f t="shared" si="39"/>
        <v>N/A</v>
      </c>
      <c r="CZ23" s="117"/>
      <c r="DA23" s="98" t="str">
        <f t="shared" si="21"/>
        <v>N/A</v>
      </c>
    </row>
    <row r="24" spans="1:105" ht="18.95" customHeight="1" x14ac:dyDescent="0.2">
      <c r="B24" s="257">
        <v>92</v>
      </c>
      <c r="C24" s="394">
        <v>17</v>
      </c>
      <c r="D24" s="468" t="s">
        <v>534</v>
      </c>
      <c r="E24" s="394" t="s">
        <v>206</v>
      </c>
      <c r="F24" s="573"/>
      <c r="G24" s="594"/>
      <c r="H24" s="573"/>
      <c r="I24" s="594"/>
      <c r="J24" s="573"/>
      <c r="K24" s="594"/>
      <c r="L24" s="573"/>
      <c r="M24" s="594"/>
      <c r="N24" s="573"/>
      <c r="O24" s="594"/>
      <c r="P24" s="573"/>
      <c r="Q24" s="594"/>
      <c r="R24" s="573"/>
      <c r="S24" s="594"/>
      <c r="T24" s="573"/>
      <c r="U24" s="594"/>
      <c r="V24" s="573"/>
      <c r="W24" s="594"/>
      <c r="X24" s="573"/>
      <c r="Y24" s="594"/>
      <c r="Z24" s="573"/>
      <c r="AA24" s="594"/>
      <c r="AB24" s="573"/>
      <c r="AC24" s="594"/>
      <c r="AD24" s="573"/>
      <c r="AE24" s="594"/>
      <c r="AF24" s="573"/>
      <c r="AG24" s="594"/>
      <c r="AH24" s="573"/>
      <c r="AI24" s="594"/>
      <c r="AJ24" s="573"/>
      <c r="AK24" s="594"/>
      <c r="AL24" s="573"/>
      <c r="AM24" s="594"/>
      <c r="AN24" s="573"/>
      <c r="AO24" s="594"/>
      <c r="AP24" s="573"/>
      <c r="AQ24" s="594"/>
      <c r="AR24" s="573"/>
      <c r="AS24" s="594"/>
      <c r="AT24" s="573"/>
      <c r="AU24" s="594"/>
      <c r="AV24" s="573"/>
      <c r="AW24" s="594"/>
      <c r="AX24" s="573"/>
      <c r="AY24" s="594"/>
      <c r="AZ24" s="573"/>
      <c r="BA24" s="594"/>
      <c r="BD24" s="81">
        <v>17</v>
      </c>
      <c r="BE24" s="471" t="s">
        <v>471</v>
      </c>
      <c r="BF24" s="81" t="s">
        <v>609</v>
      </c>
      <c r="BG24" s="81" t="s">
        <v>466</v>
      </c>
      <c r="BH24" s="117"/>
      <c r="BI24" s="98" t="str">
        <f t="shared" si="22"/>
        <v>N/A</v>
      </c>
      <c r="BJ24" s="81"/>
      <c r="BK24" s="98" t="str">
        <f t="shared" si="0"/>
        <v>N/A</v>
      </c>
      <c r="BL24" s="81"/>
      <c r="BM24" s="98" t="str">
        <f t="shared" si="1"/>
        <v>N/A</v>
      </c>
      <c r="BN24" s="81"/>
      <c r="BO24" s="98" t="str">
        <f>IF(OR(ISBLANK(L24),ISBLANK(N24)),"N/A",IF(ABS((N24-L24)/L24)&gt;0.25,"&gt; 25%","ok"))</f>
        <v>N/A</v>
      </c>
      <c r="BP24" s="81"/>
      <c r="BQ24" s="98" t="str">
        <f t="shared" si="3"/>
        <v>N/A</v>
      </c>
      <c r="BR24" s="81"/>
      <c r="BS24" s="98" t="str">
        <f t="shared" si="23"/>
        <v>N/A</v>
      </c>
      <c r="BT24" s="81"/>
      <c r="BU24" s="98" t="str">
        <f t="shared" si="24"/>
        <v>N/A</v>
      </c>
      <c r="BV24" s="81"/>
      <c r="BW24" s="98" t="str">
        <f t="shared" si="25"/>
        <v>N/A</v>
      </c>
      <c r="BX24" s="81"/>
      <c r="BY24" s="98" t="str">
        <f t="shared" si="26"/>
        <v>N/A</v>
      </c>
      <c r="BZ24" s="115"/>
      <c r="CA24" s="98" t="str">
        <f t="shared" si="27"/>
        <v>N/A</v>
      </c>
      <c r="CB24" s="117"/>
      <c r="CC24" s="98" t="str">
        <f t="shared" si="28"/>
        <v>N/A</v>
      </c>
      <c r="CD24" s="117"/>
      <c r="CE24" s="98" t="str">
        <f t="shared" si="29"/>
        <v>N/A</v>
      </c>
      <c r="CF24" s="81"/>
      <c r="CG24" s="98" t="str">
        <f t="shared" si="30"/>
        <v>N/A</v>
      </c>
      <c r="CH24" s="117"/>
      <c r="CI24" s="98" t="str">
        <f t="shared" si="31"/>
        <v>N/A</v>
      </c>
      <c r="CJ24" s="117"/>
      <c r="CK24" s="98" t="str">
        <f t="shared" si="32"/>
        <v>N/A</v>
      </c>
      <c r="CL24" s="81"/>
      <c r="CM24" s="98" t="str">
        <f t="shared" si="33"/>
        <v>N/A</v>
      </c>
      <c r="CN24" s="81"/>
      <c r="CO24" s="98" t="str">
        <f t="shared" si="34"/>
        <v>N/A</v>
      </c>
      <c r="CP24" s="115"/>
      <c r="CQ24" s="98" t="str">
        <f t="shared" si="35"/>
        <v>N/A</v>
      </c>
      <c r="CR24" s="115"/>
      <c r="CS24" s="98" t="str">
        <f t="shared" si="36"/>
        <v>N/A</v>
      </c>
      <c r="CT24" s="117"/>
      <c r="CU24" s="98" t="str">
        <f t="shared" si="37"/>
        <v>N/A</v>
      </c>
      <c r="CV24" s="117"/>
      <c r="CW24" s="98" t="str">
        <f t="shared" si="38"/>
        <v>N/A</v>
      </c>
      <c r="CX24" s="117"/>
      <c r="CY24" s="98" t="str">
        <f t="shared" si="39"/>
        <v>N/A</v>
      </c>
      <c r="CZ24" s="117"/>
      <c r="DA24" s="98" t="str">
        <f t="shared" si="21"/>
        <v>N/A</v>
      </c>
    </row>
    <row r="25" spans="1:105" ht="26.1" customHeight="1" x14ac:dyDescent="0.2">
      <c r="B25" s="257">
        <v>105</v>
      </c>
      <c r="C25" s="394">
        <v>18</v>
      </c>
      <c r="D25" s="274" t="s">
        <v>550</v>
      </c>
      <c r="E25" s="394" t="s">
        <v>206</v>
      </c>
      <c r="F25" s="573"/>
      <c r="G25" s="594"/>
      <c r="H25" s="573"/>
      <c r="I25" s="594"/>
      <c r="J25" s="573"/>
      <c r="K25" s="594"/>
      <c r="L25" s="573"/>
      <c r="M25" s="594"/>
      <c r="N25" s="573"/>
      <c r="O25" s="594"/>
      <c r="P25" s="573"/>
      <c r="Q25" s="594"/>
      <c r="R25" s="573"/>
      <c r="S25" s="594"/>
      <c r="T25" s="573"/>
      <c r="U25" s="594"/>
      <c r="V25" s="573"/>
      <c r="W25" s="594"/>
      <c r="X25" s="573"/>
      <c r="Y25" s="594"/>
      <c r="Z25" s="573"/>
      <c r="AA25" s="594"/>
      <c r="AB25" s="573"/>
      <c r="AC25" s="594"/>
      <c r="AD25" s="573"/>
      <c r="AE25" s="594"/>
      <c r="AF25" s="573"/>
      <c r="AG25" s="594"/>
      <c r="AH25" s="573"/>
      <c r="AI25" s="594"/>
      <c r="AJ25" s="573"/>
      <c r="AK25" s="594"/>
      <c r="AL25" s="573"/>
      <c r="AM25" s="594"/>
      <c r="AN25" s="573"/>
      <c r="AO25" s="594"/>
      <c r="AP25" s="573"/>
      <c r="AQ25" s="594"/>
      <c r="AR25" s="573"/>
      <c r="AS25" s="594"/>
      <c r="AT25" s="573"/>
      <c r="AU25" s="594"/>
      <c r="AV25" s="573"/>
      <c r="AW25" s="594"/>
      <c r="AX25" s="573"/>
      <c r="AY25" s="594"/>
      <c r="AZ25" s="573"/>
      <c r="BA25" s="594"/>
      <c r="BD25" s="81">
        <v>18</v>
      </c>
      <c r="BE25" s="285" t="s">
        <v>473</v>
      </c>
      <c r="BF25" s="81" t="s">
        <v>609</v>
      </c>
      <c r="BG25" s="81" t="s">
        <v>466</v>
      </c>
      <c r="BH25" s="117"/>
      <c r="BI25" s="98" t="str">
        <f t="shared" si="22"/>
        <v>N/A</v>
      </c>
      <c r="BJ25" s="81"/>
      <c r="BK25" s="98" t="str">
        <f t="shared" si="0"/>
        <v>N/A</v>
      </c>
      <c r="BL25" s="81"/>
      <c r="BM25" s="98" t="str">
        <f t="shared" si="1"/>
        <v>N/A</v>
      </c>
      <c r="BN25" s="81"/>
      <c r="BO25" s="98" t="str">
        <f t="shared" si="2"/>
        <v>N/A</v>
      </c>
      <c r="BP25" s="81"/>
      <c r="BQ25" s="98" t="str">
        <f t="shared" si="3"/>
        <v>N/A</v>
      </c>
      <c r="BR25" s="81"/>
      <c r="BS25" s="98" t="str">
        <f t="shared" si="23"/>
        <v>N/A</v>
      </c>
      <c r="BT25" s="81"/>
      <c r="BU25" s="98" t="str">
        <f t="shared" si="24"/>
        <v>N/A</v>
      </c>
      <c r="BV25" s="81"/>
      <c r="BW25" s="98" t="str">
        <f t="shared" si="25"/>
        <v>N/A</v>
      </c>
      <c r="BX25" s="81"/>
      <c r="BY25" s="98" t="str">
        <f t="shared" si="26"/>
        <v>N/A</v>
      </c>
      <c r="BZ25" s="115"/>
      <c r="CA25" s="98" t="str">
        <f t="shared" si="27"/>
        <v>N/A</v>
      </c>
      <c r="CB25" s="117"/>
      <c r="CC25" s="98" t="str">
        <f t="shared" si="28"/>
        <v>N/A</v>
      </c>
      <c r="CD25" s="117"/>
      <c r="CE25" s="98" t="str">
        <f t="shared" si="29"/>
        <v>N/A</v>
      </c>
      <c r="CF25" s="81"/>
      <c r="CG25" s="98" t="str">
        <f t="shared" si="30"/>
        <v>N/A</v>
      </c>
      <c r="CH25" s="117"/>
      <c r="CI25" s="98" t="str">
        <f t="shared" si="31"/>
        <v>N/A</v>
      </c>
      <c r="CJ25" s="117"/>
      <c r="CK25" s="98" t="str">
        <f t="shared" si="32"/>
        <v>N/A</v>
      </c>
      <c r="CL25" s="81"/>
      <c r="CM25" s="98" t="str">
        <f t="shared" si="33"/>
        <v>N/A</v>
      </c>
      <c r="CN25" s="81"/>
      <c r="CO25" s="98" t="str">
        <f t="shared" si="34"/>
        <v>N/A</v>
      </c>
      <c r="CP25" s="115"/>
      <c r="CQ25" s="98" t="str">
        <f t="shared" si="35"/>
        <v>N/A</v>
      </c>
      <c r="CR25" s="115"/>
      <c r="CS25" s="98" t="str">
        <f t="shared" si="36"/>
        <v>N/A</v>
      </c>
      <c r="CT25" s="117"/>
      <c r="CU25" s="98" t="str">
        <f t="shared" si="37"/>
        <v>N/A</v>
      </c>
      <c r="CV25" s="117"/>
      <c r="CW25" s="98" t="str">
        <f t="shared" si="38"/>
        <v>N/A</v>
      </c>
      <c r="CX25" s="117"/>
      <c r="CY25" s="98" t="str">
        <f t="shared" si="39"/>
        <v>N/A</v>
      </c>
      <c r="CZ25" s="117"/>
      <c r="DA25" s="98" t="str">
        <f t="shared" si="21"/>
        <v>N/A</v>
      </c>
    </row>
    <row r="26" spans="1:105" ht="18.95" customHeight="1" x14ac:dyDescent="0.2">
      <c r="B26" s="257">
        <v>2414</v>
      </c>
      <c r="C26" s="508">
        <v>19</v>
      </c>
      <c r="D26" s="274" t="s">
        <v>536</v>
      </c>
      <c r="E26" s="394" t="s">
        <v>206</v>
      </c>
      <c r="F26" s="574"/>
      <c r="G26" s="595"/>
      <c r="H26" s="574"/>
      <c r="I26" s="595"/>
      <c r="J26" s="574"/>
      <c r="K26" s="595"/>
      <c r="L26" s="574"/>
      <c r="M26" s="595"/>
      <c r="N26" s="574"/>
      <c r="O26" s="595"/>
      <c r="P26" s="574"/>
      <c r="Q26" s="595"/>
      <c r="R26" s="574"/>
      <c r="S26" s="595"/>
      <c r="T26" s="574"/>
      <c r="U26" s="595"/>
      <c r="V26" s="574"/>
      <c r="W26" s="595"/>
      <c r="X26" s="574"/>
      <c r="Y26" s="595"/>
      <c r="Z26" s="574"/>
      <c r="AA26" s="595"/>
      <c r="AB26" s="574"/>
      <c r="AC26" s="595"/>
      <c r="AD26" s="574"/>
      <c r="AE26" s="595"/>
      <c r="AF26" s="574"/>
      <c r="AG26" s="595"/>
      <c r="AH26" s="574"/>
      <c r="AI26" s="595"/>
      <c r="AJ26" s="574"/>
      <c r="AK26" s="595"/>
      <c r="AL26" s="574"/>
      <c r="AM26" s="595"/>
      <c r="AN26" s="574"/>
      <c r="AO26" s="595"/>
      <c r="AP26" s="574"/>
      <c r="AQ26" s="595"/>
      <c r="AR26" s="574"/>
      <c r="AS26" s="595"/>
      <c r="AT26" s="574"/>
      <c r="AU26" s="595"/>
      <c r="AV26" s="574"/>
      <c r="AW26" s="595"/>
      <c r="AX26" s="574"/>
      <c r="AY26" s="595"/>
      <c r="AZ26" s="574"/>
      <c r="BA26" s="595"/>
      <c r="BD26" s="280">
        <v>19</v>
      </c>
      <c r="BE26" s="509" t="s">
        <v>479</v>
      </c>
      <c r="BF26" s="81" t="s">
        <v>609</v>
      </c>
      <c r="BG26" s="81" t="s">
        <v>466</v>
      </c>
      <c r="BH26" s="117"/>
      <c r="BI26" s="98" t="str">
        <f t="shared" si="22"/>
        <v>N/A</v>
      </c>
      <c r="BJ26" s="81"/>
      <c r="BK26" s="98" t="str">
        <f t="shared" si="0"/>
        <v>N/A</v>
      </c>
      <c r="BL26" s="81"/>
      <c r="BM26" s="98" t="str">
        <f t="shared" si="1"/>
        <v>N/A</v>
      </c>
      <c r="BN26" s="81"/>
      <c r="BO26" s="98" t="str">
        <f t="shared" si="2"/>
        <v>N/A</v>
      </c>
      <c r="BP26" s="81"/>
      <c r="BQ26" s="98" t="str">
        <f t="shared" si="3"/>
        <v>N/A</v>
      </c>
      <c r="BR26" s="81"/>
      <c r="BS26" s="98" t="str">
        <f t="shared" si="23"/>
        <v>N/A</v>
      </c>
      <c r="BT26" s="81"/>
      <c r="BU26" s="98" t="str">
        <f t="shared" si="24"/>
        <v>N/A</v>
      </c>
      <c r="BV26" s="81"/>
      <c r="BW26" s="98" t="str">
        <f t="shared" si="25"/>
        <v>N/A</v>
      </c>
      <c r="BX26" s="81"/>
      <c r="BY26" s="98" t="str">
        <f t="shared" si="26"/>
        <v>N/A</v>
      </c>
      <c r="BZ26" s="81"/>
      <c r="CA26" s="98" t="str">
        <f t="shared" si="27"/>
        <v>N/A</v>
      </c>
      <c r="CB26" s="117"/>
      <c r="CC26" s="98" t="str">
        <f t="shared" si="28"/>
        <v>N/A</v>
      </c>
      <c r="CD26" s="81"/>
      <c r="CE26" s="98" t="str">
        <f t="shared" si="29"/>
        <v>N/A</v>
      </c>
      <c r="CF26" s="81"/>
      <c r="CG26" s="98" t="str">
        <f t="shared" si="30"/>
        <v>N/A</v>
      </c>
      <c r="CH26" s="117"/>
      <c r="CI26" s="98" t="str">
        <f t="shared" si="31"/>
        <v>N/A</v>
      </c>
      <c r="CJ26" s="81"/>
      <c r="CK26" s="98" t="str">
        <f t="shared" si="32"/>
        <v>N/A</v>
      </c>
      <c r="CL26" s="81"/>
      <c r="CM26" s="98" t="str">
        <f t="shared" si="33"/>
        <v>N/A</v>
      </c>
      <c r="CN26" s="81"/>
      <c r="CO26" s="98" t="str">
        <f t="shared" si="34"/>
        <v>N/A</v>
      </c>
      <c r="CP26" s="81"/>
      <c r="CQ26" s="98" t="str">
        <f t="shared" si="35"/>
        <v>N/A</v>
      </c>
      <c r="CR26" s="81"/>
      <c r="CS26" s="98" t="str">
        <f t="shared" si="36"/>
        <v>N/A</v>
      </c>
      <c r="CT26" s="117"/>
      <c r="CU26" s="98" t="str">
        <f t="shared" si="37"/>
        <v>N/A</v>
      </c>
      <c r="CV26" s="81"/>
      <c r="CW26" s="98" t="str">
        <f t="shared" si="38"/>
        <v>N/A</v>
      </c>
      <c r="CX26" s="117"/>
      <c r="CY26" s="98" t="str">
        <f t="shared" si="39"/>
        <v>N/A</v>
      </c>
      <c r="CZ26" s="81"/>
      <c r="DA26" s="98" t="str">
        <f t="shared" si="21"/>
        <v>N/A</v>
      </c>
    </row>
    <row r="27" spans="1:105" ht="26.1" customHeight="1" x14ac:dyDescent="0.2">
      <c r="B27" s="510">
        <v>160</v>
      </c>
      <c r="C27" s="287">
        <v>20</v>
      </c>
      <c r="D27" s="288" t="s">
        <v>506</v>
      </c>
      <c r="E27" s="287" t="s">
        <v>207</v>
      </c>
      <c r="F27" s="575"/>
      <c r="G27" s="596"/>
      <c r="H27" s="575"/>
      <c r="I27" s="596"/>
      <c r="J27" s="575"/>
      <c r="K27" s="596"/>
      <c r="L27" s="575"/>
      <c r="M27" s="596"/>
      <c r="N27" s="575"/>
      <c r="O27" s="596"/>
      <c r="P27" s="575"/>
      <c r="Q27" s="596"/>
      <c r="R27" s="575"/>
      <c r="S27" s="596"/>
      <c r="T27" s="575"/>
      <c r="U27" s="596"/>
      <c r="V27" s="575"/>
      <c r="W27" s="596"/>
      <c r="X27" s="575"/>
      <c r="Y27" s="596"/>
      <c r="Z27" s="575"/>
      <c r="AA27" s="596"/>
      <c r="AB27" s="575"/>
      <c r="AC27" s="596"/>
      <c r="AD27" s="575"/>
      <c r="AE27" s="596"/>
      <c r="AF27" s="575"/>
      <c r="AG27" s="596"/>
      <c r="AH27" s="575"/>
      <c r="AI27" s="596"/>
      <c r="AJ27" s="575"/>
      <c r="AK27" s="596"/>
      <c r="AL27" s="575"/>
      <c r="AM27" s="596"/>
      <c r="AN27" s="575"/>
      <c r="AO27" s="596"/>
      <c r="AP27" s="575"/>
      <c r="AQ27" s="596"/>
      <c r="AR27" s="575"/>
      <c r="AS27" s="596"/>
      <c r="AT27" s="575"/>
      <c r="AU27" s="596"/>
      <c r="AV27" s="575"/>
      <c r="AW27" s="596"/>
      <c r="AX27" s="575"/>
      <c r="AY27" s="596"/>
      <c r="AZ27" s="575"/>
      <c r="BA27" s="596"/>
      <c r="BD27" s="96">
        <v>20</v>
      </c>
      <c r="BE27" s="511" t="s">
        <v>429</v>
      </c>
      <c r="BF27" s="96" t="s">
        <v>207</v>
      </c>
      <c r="BG27" s="96" t="s">
        <v>466</v>
      </c>
      <c r="BH27" s="512"/>
      <c r="BI27" s="96" t="str">
        <f t="shared" si="22"/>
        <v>N/A</v>
      </c>
      <c r="BJ27" s="96"/>
      <c r="BK27" s="96" t="str">
        <f t="shared" si="0"/>
        <v>N/A</v>
      </c>
      <c r="BL27" s="96"/>
      <c r="BM27" s="96" t="str">
        <f t="shared" si="1"/>
        <v>N/A</v>
      </c>
      <c r="BN27" s="96"/>
      <c r="BO27" s="96" t="str">
        <f t="shared" si="2"/>
        <v>N/A</v>
      </c>
      <c r="BP27" s="96"/>
      <c r="BQ27" s="96" t="str">
        <f>IF(OR(ISBLANK(N27),ISBLANK(P27)),"N/A",IF(ABS((P27-N27)/N27)&gt;0.25,"&gt; 25%","ok"))</f>
        <v>N/A</v>
      </c>
      <c r="BR27" s="96"/>
      <c r="BS27" s="96" t="str">
        <f t="shared" si="23"/>
        <v>N/A</v>
      </c>
      <c r="BT27" s="96"/>
      <c r="BU27" s="96" t="str">
        <f t="shared" si="24"/>
        <v>N/A</v>
      </c>
      <c r="BV27" s="96"/>
      <c r="BW27" s="96" t="str">
        <f t="shared" si="25"/>
        <v>N/A</v>
      </c>
      <c r="BX27" s="96"/>
      <c r="BY27" s="96" t="str">
        <f t="shared" si="26"/>
        <v>N/A</v>
      </c>
      <c r="BZ27" s="96"/>
      <c r="CA27" s="96" t="str">
        <f t="shared" si="27"/>
        <v>N/A</v>
      </c>
      <c r="CB27" s="96"/>
      <c r="CC27" s="96" t="str">
        <f t="shared" si="28"/>
        <v>N/A</v>
      </c>
      <c r="CD27" s="96"/>
      <c r="CE27" s="96" t="str">
        <f t="shared" si="29"/>
        <v>N/A</v>
      </c>
      <c r="CF27" s="96"/>
      <c r="CG27" s="96" t="str">
        <f t="shared" si="30"/>
        <v>N/A</v>
      </c>
      <c r="CH27" s="96"/>
      <c r="CI27" s="96" t="str">
        <f t="shared" si="31"/>
        <v>N/A</v>
      </c>
      <c r="CJ27" s="96"/>
      <c r="CK27" s="96" t="str">
        <f t="shared" si="32"/>
        <v>N/A</v>
      </c>
      <c r="CL27" s="96"/>
      <c r="CM27" s="96" t="str">
        <f t="shared" si="33"/>
        <v>N/A</v>
      </c>
      <c r="CN27" s="96"/>
      <c r="CO27" s="96" t="str">
        <f t="shared" si="34"/>
        <v>N/A</v>
      </c>
      <c r="CP27" s="96"/>
      <c r="CQ27" s="96" t="str">
        <f t="shared" si="35"/>
        <v>N/A</v>
      </c>
      <c r="CR27" s="96"/>
      <c r="CS27" s="96" t="str">
        <f t="shared" si="36"/>
        <v>N/A</v>
      </c>
      <c r="CT27" s="96"/>
      <c r="CU27" s="96" t="str">
        <f t="shared" si="37"/>
        <v>N/A</v>
      </c>
      <c r="CV27" s="96"/>
      <c r="CW27" s="96" t="str">
        <f t="shared" si="38"/>
        <v>N/A</v>
      </c>
      <c r="CX27" s="96"/>
      <c r="CY27" s="96" t="str">
        <f t="shared" si="39"/>
        <v>N/A</v>
      </c>
      <c r="CZ27" s="96"/>
      <c r="DA27" s="98" t="str">
        <f t="shared" si="21"/>
        <v>N/A</v>
      </c>
    </row>
    <row r="28" spans="1:105" ht="25.15" customHeight="1" x14ac:dyDescent="0.2">
      <c r="BD28" s="513"/>
      <c r="BE28" s="97"/>
      <c r="BF28" s="514"/>
      <c r="BG28" s="515"/>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c r="CO28" s="209"/>
      <c r="CP28" s="209"/>
      <c r="CQ28" s="209"/>
      <c r="CR28" s="209"/>
      <c r="CS28" s="209"/>
      <c r="CT28" s="209"/>
      <c r="CU28" s="209"/>
      <c r="CV28" s="209"/>
      <c r="CW28" s="209"/>
      <c r="CX28" s="209"/>
      <c r="CY28" s="209"/>
      <c r="CZ28" s="209"/>
      <c r="DA28" s="209"/>
    </row>
    <row r="29" spans="1:105" ht="3" customHeight="1" x14ac:dyDescent="0.2">
      <c r="C29" s="516"/>
      <c r="D29" s="226"/>
      <c r="E29" s="517"/>
      <c r="F29" s="226"/>
      <c r="G29" s="226"/>
      <c r="H29" s="226"/>
      <c r="I29" s="225"/>
      <c r="J29" s="225"/>
      <c r="K29" s="225"/>
      <c r="L29" s="225"/>
      <c r="M29" s="225"/>
      <c r="N29" s="225"/>
      <c r="O29" s="225"/>
      <c r="P29" s="312"/>
      <c r="Q29" s="225"/>
      <c r="R29" s="312"/>
      <c r="S29" s="225"/>
      <c r="T29" s="312"/>
      <c r="U29" s="225"/>
      <c r="V29" s="312"/>
      <c r="W29" s="225"/>
      <c r="X29" s="226"/>
      <c r="Y29" s="225"/>
      <c r="Z29" s="226"/>
      <c r="AA29" s="225"/>
      <c r="AB29" s="226"/>
      <c r="AC29" s="225"/>
      <c r="AD29" s="226"/>
      <c r="AE29" s="225"/>
      <c r="AF29" s="226"/>
      <c r="AG29" s="225"/>
      <c r="AH29" s="226"/>
      <c r="AI29" s="225"/>
      <c r="AJ29" s="312"/>
      <c r="AK29" s="225"/>
      <c r="AL29" s="226"/>
      <c r="AM29" s="225"/>
      <c r="AN29" s="226"/>
      <c r="AO29" s="367"/>
      <c r="AP29" s="367"/>
      <c r="AQ29" s="367"/>
      <c r="AR29" s="367"/>
      <c r="AS29" s="367"/>
      <c r="AV29" s="367"/>
      <c r="AW29" s="367"/>
      <c r="BD29" s="388" t="s">
        <v>438</v>
      </c>
      <c r="BE29" s="209"/>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row>
    <row r="30" spans="1:105" ht="14.25" customHeight="1" x14ac:dyDescent="0.2">
      <c r="C30" s="380" t="s">
        <v>490</v>
      </c>
      <c r="D30" s="293"/>
      <c r="E30" s="480"/>
      <c r="F30" s="380"/>
      <c r="G30" s="380"/>
      <c r="BD30" s="252" t="s">
        <v>201</v>
      </c>
      <c r="BE30" s="252" t="s">
        <v>202</v>
      </c>
      <c r="BF30" s="252" t="s">
        <v>203</v>
      </c>
      <c r="BG30" s="251">
        <v>1990</v>
      </c>
      <c r="BH30" s="251"/>
      <c r="BI30" s="252">
        <v>1995</v>
      </c>
      <c r="BJ30" s="252"/>
      <c r="BK30" s="252">
        <v>1996</v>
      </c>
      <c r="BL30" s="252"/>
      <c r="BM30" s="252">
        <v>1997</v>
      </c>
      <c r="BN30" s="252"/>
      <c r="BO30" s="252">
        <v>1998</v>
      </c>
      <c r="BP30" s="252"/>
      <c r="BQ30" s="252">
        <v>1999</v>
      </c>
      <c r="BR30" s="252"/>
      <c r="BS30" s="252">
        <v>2000</v>
      </c>
      <c r="BT30" s="252"/>
      <c r="BU30" s="252">
        <v>2001</v>
      </c>
      <c r="BV30" s="252"/>
      <c r="BW30" s="252">
        <v>2002</v>
      </c>
      <c r="BX30" s="252"/>
      <c r="BY30" s="252">
        <v>2003</v>
      </c>
      <c r="BZ30" s="252"/>
      <c r="CA30" s="252">
        <v>2004</v>
      </c>
      <c r="CB30" s="252"/>
      <c r="CC30" s="252">
        <v>2005</v>
      </c>
      <c r="CD30" s="252"/>
      <c r="CE30" s="252">
        <v>2006</v>
      </c>
      <c r="CF30" s="252"/>
      <c r="CG30" s="252">
        <v>2007</v>
      </c>
      <c r="CH30" s="252"/>
      <c r="CI30" s="252">
        <v>2008</v>
      </c>
      <c r="CJ30" s="252"/>
      <c r="CK30" s="252">
        <v>2009</v>
      </c>
      <c r="CL30" s="252"/>
      <c r="CM30" s="252">
        <v>2010</v>
      </c>
      <c r="CN30" s="252"/>
      <c r="CO30" s="252">
        <v>2011</v>
      </c>
      <c r="CP30" s="252"/>
      <c r="CQ30" s="252">
        <v>2012</v>
      </c>
      <c r="CR30" s="252"/>
      <c r="CS30" s="252">
        <v>2013</v>
      </c>
      <c r="CT30" s="252"/>
      <c r="CU30" s="252">
        <v>2014</v>
      </c>
      <c r="CV30" s="252"/>
      <c r="CW30" s="252">
        <v>2015</v>
      </c>
      <c r="CX30" s="252"/>
      <c r="CY30" s="252">
        <v>2016</v>
      </c>
      <c r="CZ30" s="252"/>
      <c r="DA30" s="252">
        <v>2017</v>
      </c>
    </row>
    <row r="31" spans="1:105" ht="13.5" customHeight="1" x14ac:dyDescent="0.2">
      <c r="C31" s="300" t="s">
        <v>484</v>
      </c>
      <c r="D31" s="771" t="s">
        <v>537</v>
      </c>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1"/>
      <c r="AS31" s="771"/>
      <c r="AT31" s="771"/>
      <c r="AU31" s="771"/>
      <c r="AV31" s="771"/>
      <c r="AW31" s="771"/>
      <c r="AX31" s="771"/>
      <c r="AY31" s="771"/>
      <c r="AZ31" s="771"/>
      <c r="BA31" s="771"/>
      <c r="BB31" s="771"/>
      <c r="BD31" s="402">
        <v>1</v>
      </c>
      <c r="BE31" s="504" t="s">
        <v>469</v>
      </c>
      <c r="BF31" s="81" t="s">
        <v>206</v>
      </c>
      <c r="BG31" s="81">
        <f>F8</f>
        <v>0</v>
      </c>
      <c r="BH31" s="81"/>
      <c r="BI31" s="81">
        <f>H8</f>
        <v>0</v>
      </c>
      <c r="BJ31" s="81"/>
      <c r="BK31" s="81">
        <f>J8</f>
        <v>0</v>
      </c>
      <c r="BL31" s="81"/>
      <c r="BM31" s="81">
        <f>L8</f>
        <v>0</v>
      </c>
      <c r="BN31" s="81"/>
      <c r="BO31" s="81">
        <f>N8</f>
        <v>0</v>
      </c>
      <c r="BP31" s="81"/>
      <c r="BQ31" s="81">
        <f>P8</f>
        <v>0</v>
      </c>
      <c r="BR31" s="81"/>
      <c r="BS31" s="81">
        <f>R8</f>
        <v>0</v>
      </c>
      <c r="BT31" s="81"/>
      <c r="BU31" s="81">
        <f>T8</f>
        <v>0</v>
      </c>
      <c r="BV31" s="81"/>
      <c r="BW31" s="81">
        <f>V8</f>
        <v>0</v>
      </c>
      <c r="BX31" s="81"/>
      <c r="BY31" s="81">
        <f>X8</f>
        <v>0</v>
      </c>
      <c r="BZ31" s="81"/>
      <c r="CA31" s="81">
        <f>Z8</f>
        <v>0</v>
      </c>
      <c r="CB31" s="81"/>
      <c r="CC31" s="81">
        <f>AB8</f>
        <v>0</v>
      </c>
      <c r="CD31" s="81"/>
      <c r="CE31" s="81">
        <f>AD8</f>
        <v>0</v>
      </c>
      <c r="CF31" s="81"/>
      <c r="CG31" s="81">
        <f>AF8</f>
        <v>0</v>
      </c>
      <c r="CH31" s="81"/>
      <c r="CI31" s="81">
        <f>AH8</f>
        <v>0</v>
      </c>
      <c r="CJ31" s="81"/>
      <c r="CK31" s="81">
        <f>AJ8</f>
        <v>0</v>
      </c>
      <c r="CL31" s="81"/>
      <c r="CM31" s="81">
        <f>AL8</f>
        <v>0</v>
      </c>
      <c r="CN31" s="81"/>
      <c r="CO31" s="81">
        <f>AN8</f>
        <v>0</v>
      </c>
      <c r="CP31" s="81"/>
      <c r="CQ31" s="81">
        <f>AP8</f>
        <v>0</v>
      </c>
      <c r="CR31" s="81"/>
      <c r="CS31" s="81">
        <f>AR8</f>
        <v>0</v>
      </c>
      <c r="CT31" s="81"/>
      <c r="CU31" s="81">
        <f>AT8</f>
        <v>2848.5556068722917</v>
      </c>
      <c r="CV31" s="81"/>
      <c r="CW31" s="81">
        <f>AV8</f>
        <v>2896.4710037587656</v>
      </c>
      <c r="CX31" s="81"/>
      <c r="CY31" s="81">
        <f>AX8</f>
        <v>2764.0334730202317</v>
      </c>
      <c r="CZ31" s="81"/>
      <c r="DA31" s="81">
        <f>AZ8</f>
        <v>0</v>
      </c>
    </row>
    <row r="32" spans="1:105" ht="16.899999999999999" customHeight="1" x14ac:dyDescent="0.2">
      <c r="A32" s="302"/>
      <c r="B32" s="302"/>
      <c r="C32" s="300" t="s">
        <v>484</v>
      </c>
      <c r="D32" s="775" t="s">
        <v>67</v>
      </c>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419"/>
      <c r="BD32" s="320">
        <v>21</v>
      </c>
      <c r="BE32" s="304" t="s">
        <v>613</v>
      </c>
      <c r="BF32" s="81" t="s">
        <v>206</v>
      </c>
      <c r="BG32" s="81">
        <f>SUM(F9:F12)+SUM(F14:F16)</f>
        <v>0</v>
      </c>
      <c r="BH32" s="81"/>
      <c r="BI32" s="81">
        <f t="shared" ref="BI32:DA32" si="40">SUM(H9:H12)+SUM(H14:H16)</f>
        <v>0</v>
      </c>
      <c r="BJ32" s="81"/>
      <c r="BK32" s="81">
        <f t="shared" si="40"/>
        <v>0</v>
      </c>
      <c r="BL32" s="81"/>
      <c r="BM32" s="81">
        <f t="shared" si="40"/>
        <v>0</v>
      </c>
      <c r="BN32" s="81"/>
      <c r="BO32" s="81">
        <f t="shared" si="40"/>
        <v>0</v>
      </c>
      <c r="BP32" s="81"/>
      <c r="BQ32" s="81">
        <f t="shared" si="40"/>
        <v>0</v>
      </c>
      <c r="BR32" s="81"/>
      <c r="BS32" s="81">
        <f t="shared" si="40"/>
        <v>0</v>
      </c>
      <c r="BT32" s="81"/>
      <c r="BU32" s="81">
        <f t="shared" si="40"/>
        <v>0</v>
      </c>
      <c r="BV32" s="81"/>
      <c r="BW32" s="81">
        <f t="shared" si="40"/>
        <v>0</v>
      </c>
      <c r="BX32" s="81"/>
      <c r="BY32" s="81">
        <f t="shared" si="40"/>
        <v>0</v>
      </c>
      <c r="BZ32" s="81"/>
      <c r="CA32" s="81">
        <f t="shared" si="40"/>
        <v>0</v>
      </c>
      <c r="CB32" s="81"/>
      <c r="CC32" s="81">
        <f t="shared" si="40"/>
        <v>0</v>
      </c>
      <c r="CD32" s="81"/>
      <c r="CE32" s="81">
        <f t="shared" si="40"/>
        <v>0</v>
      </c>
      <c r="CF32" s="81"/>
      <c r="CG32" s="81">
        <f t="shared" si="40"/>
        <v>0</v>
      </c>
      <c r="CH32" s="81"/>
      <c r="CI32" s="81">
        <f t="shared" si="40"/>
        <v>0</v>
      </c>
      <c r="CJ32" s="81"/>
      <c r="CK32" s="81">
        <f t="shared" si="40"/>
        <v>0</v>
      </c>
      <c r="CL32" s="81"/>
      <c r="CM32" s="81">
        <f t="shared" si="40"/>
        <v>0</v>
      </c>
      <c r="CN32" s="81"/>
      <c r="CO32" s="81">
        <f t="shared" si="40"/>
        <v>0</v>
      </c>
      <c r="CP32" s="81"/>
      <c r="CQ32" s="81">
        <f t="shared" si="40"/>
        <v>0</v>
      </c>
      <c r="CR32" s="81"/>
      <c r="CS32" s="81">
        <f t="shared" si="40"/>
        <v>0</v>
      </c>
      <c r="CT32" s="81"/>
      <c r="CU32" s="81">
        <f t="shared" si="40"/>
        <v>2615.9495198716809</v>
      </c>
      <c r="CV32" s="81"/>
      <c r="CW32" s="81">
        <f t="shared" si="40"/>
        <v>2665.6802114034176</v>
      </c>
      <c r="CX32" s="81"/>
      <c r="CY32" s="81">
        <f t="shared" si="40"/>
        <v>2525.4099398626227</v>
      </c>
      <c r="CZ32" s="81"/>
      <c r="DA32" s="81">
        <f t="shared" si="40"/>
        <v>0</v>
      </c>
    </row>
    <row r="33" spans="1:105" ht="25.5" customHeight="1" x14ac:dyDescent="0.2">
      <c r="A33" s="302"/>
      <c r="B33" s="302"/>
      <c r="C33" s="300" t="s">
        <v>484</v>
      </c>
      <c r="D33" s="771" t="s">
        <v>121</v>
      </c>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c r="BC33" s="419"/>
      <c r="BD33" s="308" t="s">
        <v>139</v>
      </c>
      <c r="BE33" s="304" t="s">
        <v>614</v>
      </c>
      <c r="BF33" s="81"/>
      <c r="BG33" s="81" t="str">
        <f>IF(OR(ISBLANK(F8),ISBLANK(F9),ISBLANK(F10),ISBLANK(F11),ISBLANK(F12),ISBLANK(F14),ISBLANK(F15),ISBLANK(F16)),"N/A",IF((BG31=BG32),"ok","&lt;&gt;"))</f>
        <v>N/A</v>
      </c>
      <c r="BH33" s="81"/>
      <c r="BI33" s="81" t="str">
        <f>IF(OR(ISBLANK(H8),ISBLANK(H9),ISBLANK(H10),ISBLANK(H11),ISBLANK(H12),ISBLANK(H14),ISBLANK(H15),ISBLANK(H16)),"N/A",IF((BI31=BI32),"ok","&lt;&gt;"))</f>
        <v>N/A</v>
      </c>
      <c r="BJ33" s="81"/>
      <c r="BK33" s="81" t="str">
        <f t="shared" ref="BK33:DA33" si="41">IF(OR(ISBLANK(J8),ISBLANK(J9),ISBLANK(J10),ISBLANK(J11),ISBLANK(J12),ISBLANK(J14),ISBLANK(J15),ISBLANK(J16)),"N/A",IF((BK31=BK32),"ok","&lt;&gt;"))</f>
        <v>N/A</v>
      </c>
      <c r="BL33" s="81"/>
      <c r="BM33" s="81" t="str">
        <f t="shared" si="41"/>
        <v>N/A</v>
      </c>
      <c r="BN33" s="81"/>
      <c r="BO33" s="81" t="str">
        <f t="shared" si="41"/>
        <v>N/A</v>
      </c>
      <c r="BP33" s="81"/>
      <c r="BQ33" s="81" t="str">
        <f t="shared" si="41"/>
        <v>N/A</v>
      </c>
      <c r="BR33" s="81"/>
      <c r="BS33" s="81" t="str">
        <f t="shared" si="41"/>
        <v>N/A</v>
      </c>
      <c r="BT33" s="81"/>
      <c r="BU33" s="81" t="str">
        <f t="shared" si="41"/>
        <v>N/A</v>
      </c>
      <c r="BV33" s="81"/>
      <c r="BW33" s="81" t="str">
        <f t="shared" si="41"/>
        <v>N/A</v>
      </c>
      <c r="BX33" s="81"/>
      <c r="BY33" s="81" t="str">
        <f t="shared" si="41"/>
        <v>N/A</v>
      </c>
      <c r="BZ33" s="81"/>
      <c r="CA33" s="81" t="str">
        <f t="shared" si="41"/>
        <v>N/A</v>
      </c>
      <c r="CB33" s="81"/>
      <c r="CC33" s="81" t="str">
        <f t="shared" si="41"/>
        <v>N/A</v>
      </c>
      <c r="CD33" s="81"/>
      <c r="CE33" s="81" t="str">
        <f t="shared" si="41"/>
        <v>N/A</v>
      </c>
      <c r="CF33" s="81"/>
      <c r="CG33" s="81" t="str">
        <f t="shared" si="41"/>
        <v>N/A</v>
      </c>
      <c r="CH33" s="81"/>
      <c r="CI33" s="81" t="str">
        <f t="shared" si="41"/>
        <v>N/A</v>
      </c>
      <c r="CJ33" s="81"/>
      <c r="CK33" s="81" t="str">
        <f t="shared" si="41"/>
        <v>N/A</v>
      </c>
      <c r="CL33" s="81"/>
      <c r="CM33" s="81" t="str">
        <f t="shared" si="41"/>
        <v>N/A</v>
      </c>
      <c r="CN33" s="81"/>
      <c r="CO33" s="81" t="str">
        <f t="shared" si="41"/>
        <v>N/A</v>
      </c>
      <c r="CP33" s="81"/>
      <c r="CQ33" s="81" t="str">
        <f t="shared" si="41"/>
        <v>N/A</v>
      </c>
      <c r="CR33" s="81"/>
      <c r="CS33" s="81" t="str">
        <f t="shared" si="41"/>
        <v>N/A</v>
      </c>
      <c r="CT33" s="81"/>
      <c r="CU33" s="81" t="str">
        <f t="shared" si="41"/>
        <v>N/A</v>
      </c>
      <c r="CV33" s="81"/>
      <c r="CW33" s="81" t="str">
        <f t="shared" si="41"/>
        <v>N/A</v>
      </c>
      <c r="CX33" s="81"/>
      <c r="CY33" s="81" t="str">
        <f t="shared" si="41"/>
        <v>N/A</v>
      </c>
      <c r="CZ33" s="81"/>
      <c r="DA33" s="81" t="str">
        <f t="shared" si="41"/>
        <v>N/A</v>
      </c>
    </row>
    <row r="34" spans="1:105" ht="33" customHeight="1" x14ac:dyDescent="0.2">
      <c r="A34" s="302"/>
      <c r="B34" s="302"/>
      <c r="C34" s="300"/>
      <c r="D34" s="518" t="str">
        <f>D9 &amp; " (W4,2)"</f>
        <v>por
    Agricultura, ganadería, silvicultura y pesca (CIIU 01-03) (W4,2)</v>
      </c>
      <c r="E34" s="306"/>
      <c r="F34" s="306"/>
      <c r="G34" s="306"/>
      <c r="H34" s="306"/>
      <c r="I34" s="306"/>
      <c r="J34" s="306"/>
      <c r="K34" s="306"/>
      <c r="L34" s="306"/>
      <c r="M34" s="306"/>
      <c r="N34" s="306"/>
      <c r="O34" s="306"/>
      <c r="P34" s="306"/>
      <c r="Q34" s="306"/>
      <c r="R34" s="306"/>
      <c r="S34" s="306"/>
      <c r="T34" s="306"/>
      <c r="U34" s="871" t="str">
        <f>D17&amp; " (W4,10)"</f>
        <v>Tratamiento de aguas residuales urbanas (W4,10)</v>
      </c>
      <c r="V34" s="872"/>
      <c r="W34" s="872"/>
      <c r="X34" s="872"/>
      <c r="Y34" s="872"/>
      <c r="Z34" s="872"/>
      <c r="AA34" s="872"/>
      <c r="AB34" s="873"/>
      <c r="AC34" s="521"/>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419"/>
      <c r="BD34" s="320">
        <v>22</v>
      </c>
      <c r="BE34" s="304" t="s">
        <v>615</v>
      </c>
      <c r="BF34" s="81" t="s">
        <v>206</v>
      </c>
      <c r="BG34" s="81">
        <f>F17+F21+F25+F26</f>
        <v>0</v>
      </c>
      <c r="BH34" s="81"/>
      <c r="BI34" s="81">
        <f t="shared" ref="BI34:DA34" si="42">H17+H21+H25+H26</f>
        <v>0</v>
      </c>
      <c r="BJ34" s="81"/>
      <c r="BK34" s="81">
        <f t="shared" si="42"/>
        <v>0</v>
      </c>
      <c r="BL34" s="81"/>
      <c r="BM34" s="81">
        <f t="shared" si="42"/>
        <v>0</v>
      </c>
      <c r="BN34" s="81"/>
      <c r="BO34" s="81">
        <f t="shared" si="42"/>
        <v>0</v>
      </c>
      <c r="BP34" s="81"/>
      <c r="BQ34" s="81">
        <f t="shared" si="42"/>
        <v>0</v>
      </c>
      <c r="BR34" s="81"/>
      <c r="BS34" s="81">
        <f t="shared" si="42"/>
        <v>0</v>
      </c>
      <c r="BT34" s="81"/>
      <c r="BU34" s="81">
        <f t="shared" si="42"/>
        <v>0</v>
      </c>
      <c r="BV34" s="81"/>
      <c r="BW34" s="81">
        <f t="shared" si="42"/>
        <v>0</v>
      </c>
      <c r="BX34" s="81"/>
      <c r="BY34" s="81">
        <f t="shared" si="42"/>
        <v>0</v>
      </c>
      <c r="BZ34" s="81"/>
      <c r="CA34" s="81">
        <f t="shared" si="42"/>
        <v>0</v>
      </c>
      <c r="CB34" s="81"/>
      <c r="CC34" s="81">
        <f t="shared" si="42"/>
        <v>0</v>
      </c>
      <c r="CD34" s="81"/>
      <c r="CE34" s="81">
        <f t="shared" si="42"/>
        <v>0</v>
      </c>
      <c r="CF34" s="81"/>
      <c r="CG34" s="81">
        <f t="shared" si="42"/>
        <v>0</v>
      </c>
      <c r="CH34" s="81"/>
      <c r="CI34" s="81">
        <f t="shared" si="42"/>
        <v>0</v>
      </c>
      <c r="CJ34" s="81"/>
      <c r="CK34" s="81">
        <f t="shared" si="42"/>
        <v>0</v>
      </c>
      <c r="CL34" s="81"/>
      <c r="CM34" s="81">
        <f t="shared" si="42"/>
        <v>0</v>
      </c>
      <c r="CN34" s="81"/>
      <c r="CO34" s="81">
        <f t="shared" si="42"/>
        <v>0</v>
      </c>
      <c r="CP34" s="81"/>
      <c r="CQ34" s="81">
        <f t="shared" si="42"/>
        <v>0</v>
      </c>
      <c r="CR34" s="81"/>
      <c r="CS34" s="81">
        <f t="shared" si="42"/>
        <v>0</v>
      </c>
      <c r="CT34" s="81"/>
      <c r="CU34" s="81">
        <f t="shared" si="42"/>
        <v>232.60608700061067</v>
      </c>
      <c r="CV34" s="81"/>
      <c r="CW34" s="81">
        <f t="shared" si="42"/>
        <v>230.79079235534786</v>
      </c>
      <c r="CX34" s="81"/>
      <c r="CY34" s="81">
        <f t="shared" si="42"/>
        <v>238.6235331576091</v>
      </c>
      <c r="CZ34" s="81"/>
      <c r="DA34" s="81">
        <f t="shared" si="42"/>
        <v>0</v>
      </c>
    </row>
    <row r="35" spans="1:105" ht="7.15" customHeight="1" x14ac:dyDescent="0.2">
      <c r="A35" s="302"/>
      <c r="B35" s="302"/>
      <c r="C35" s="300"/>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21"/>
      <c r="AD35" s="306"/>
      <c r="AE35" s="306"/>
      <c r="AF35" s="306"/>
      <c r="AG35" s="306"/>
      <c r="AH35" s="306"/>
      <c r="AI35" s="312"/>
      <c r="AJ35" s="519"/>
      <c r="AK35" s="519"/>
      <c r="AL35" s="519"/>
      <c r="AM35" s="312"/>
      <c r="AN35" s="312"/>
      <c r="AO35" s="312"/>
      <c r="AP35" s="312"/>
      <c r="AQ35" s="312"/>
      <c r="AR35" s="312"/>
      <c r="AS35" s="312"/>
      <c r="AT35" s="312"/>
      <c r="AU35" s="306"/>
      <c r="AV35" s="306"/>
      <c r="AW35" s="306"/>
      <c r="AX35" s="306"/>
      <c r="AY35" s="306"/>
      <c r="AZ35" s="306"/>
      <c r="BA35" s="306"/>
      <c r="BB35" s="306"/>
      <c r="BC35" s="419"/>
      <c r="BD35" s="308"/>
      <c r="BE35" s="304"/>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row>
    <row r="36" spans="1:105" ht="24.6" customHeight="1" x14ac:dyDescent="0.2">
      <c r="A36" s="302"/>
      <c r="B36" s="302"/>
      <c r="C36" s="300"/>
      <c r="D36" s="518" t="str">
        <f>D10 &amp; " (W4,3)"</f>
        <v xml:space="preserve">    Explotación de minas y canteras (CIIU 05-09) (W4,3)</v>
      </c>
      <c r="E36" s="519"/>
      <c r="F36" s="519"/>
      <c r="G36" s="519"/>
      <c r="H36" s="519"/>
      <c r="I36" s="519"/>
      <c r="J36" s="519"/>
      <c r="K36" s="519"/>
      <c r="L36" s="519"/>
      <c r="M36" s="519"/>
      <c r="N36" s="519"/>
      <c r="O36" s="519"/>
      <c r="P36" s="519"/>
      <c r="Q36" s="519"/>
      <c r="R36" s="519"/>
      <c r="S36" s="519"/>
      <c r="T36" s="519"/>
      <c r="U36" s="211"/>
      <c r="V36" s="211"/>
      <c r="W36" s="211"/>
      <c r="X36" s="211"/>
      <c r="Y36" s="211"/>
      <c r="Z36" s="211"/>
      <c r="AA36" s="211"/>
      <c r="AB36" s="211"/>
      <c r="AC36" s="521"/>
      <c r="AD36" s="521"/>
      <c r="AE36" s="306"/>
      <c r="AF36" s="306"/>
      <c r="AG36" s="306"/>
      <c r="AH36" s="306"/>
      <c r="AI36" s="521"/>
      <c r="AJ36" s="521"/>
      <c r="AK36" s="521"/>
      <c r="AL36" s="521"/>
      <c r="AM36" s="522"/>
      <c r="AN36" s="522"/>
      <c r="AO36" s="522"/>
      <c r="AP36" s="522"/>
      <c r="AQ36" s="522"/>
      <c r="AR36" s="522"/>
      <c r="AS36" s="520"/>
      <c r="AT36" s="520"/>
      <c r="AU36" s="306"/>
      <c r="AV36" s="520"/>
      <c r="AW36" s="520"/>
      <c r="AX36" s="520"/>
      <c r="AY36" s="306"/>
      <c r="AZ36" s="306"/>
      <c r="BA36" s="306"/>
      <c r="BB36" s="306"/>
      <c r="BC36" s="419"/>
      <c r="BD36" s="308" t="s">
        <v>139</v>
      </c>
      <c r="BE36" s="523" t="s">
        <v>616</v>
      </c>
      <c r="BF36" s="81"/>
      <c r="BG36" s="81" t="str">
        <f>IF(OR(ISBLANK(F8),ISBLANK(F17),ISBLANK(F21),ISBLANK(F25),ISBLANK(F26)),"N/A",IF((BG31=BG34),"ok","&lt;&gt;"))</f>
        <v>N/A</v>
      </c>
      <c r="BH36" s="81"/>
      <c r="BI36" s="81" t="str">
        <f t="shared" ref="BI36:DA36" si="43">IF(OR(ISBLANK(H8),ISBLANK(H17),ISBLANK(H21),ISBLANK(H25),ISBLANK(H26)),"N/A",IF((BI31=BI34),"ok","&lt;&gt;"))</f>
        <v>N/A</v>
      </c>
      <c r="BJ36" s="81"/>
      <c r="BK36" s="81" t="str">
        <f t="shared" si="43"/>
        <v>N/A</v>
      </c>
      <c r="BL36" s="81"/>
      <c r="BM36" s="81" t="str">
        <f t="shared" si="43"/>
        <v>N/A</v>
      </c>
      <c r="BN36" s="81"/>
      <c r="BO36" s="81" t="str">
        <f t="shared" si="43"/>
        <v>N/A</v>
      </c>
      <c r="BP36" s="81"/>
      <c r="BQ36" s="81" t="str">
        <f t="shared" si="43"/>
        <v>N/A</v>
      </c>
      <c r="BR36" s="81"/>
      <c r="BS36" s="81" t="str">
        <f t="shared" si="43"/>
        <v>N/A</v>
      </c>
      <c r="BT36" s="81"/>
      <c r="BU36" s="81" t="str">
        <f t="shared" si="43"/>
        <v>N/A</v>
      </c>
      <c r="BV36" s="81"/>
      <c r="BW36" s="81" t="str">
        <f t="shared" si="43"/>
        <v>N/A</v>
      </c>
      <c r="BX36" s="81"/>
      <c r="BY36" s="81" t="str">
        <f t="shared" si="43"/>
        <v>N/A</v>
      </c>
      <c r="BZ36" s="81"/>
      <c r="CA36" s="81" t="str">
        <f t="shared" si="43"/>
        <v>N/A</v>
      </c>
      <c r="CB36" s="81"/>
      <c r="CC36" s="81" t="str">
        <f t="shared" si="43"/>
        <v>N/A</v>
      </c>
      <c r="CD36" s="81"/>
      <c r="CE36" s="81" t="str">
        <f t="shared" si="43"/>
        <v>N/A</v>
      </c>
      <c r="CF36" s="81"/>
      <c r="CG36" s="81" t="str">
        <f t="shared" si="43"/>
        <v>N/A</v>
      </c>
      <c r="CH36" s="81"/>
      <c r="CI36" s="81" t="str">
        <f t="shared" si="43"/>
        <v>N/A</v>
      </c>
      <c r="CJ36" s="81"/>
      <c r="CK36" s="81" t="str">
        <f t="shared" si="43"/>
        <v>N/A</v>
      </c>
      <c r="CL36" s="81"/>
      <c r="CM36" s="81" t="str">
        <f t="shared" si="43"/>
        <v>N/A</v>
      </c>
      <c r="CN36" s="81"/>
      <c r="CO36" s="81" t="str">
        <f t="shared" si="43"/>
        <v>N/A</v>
      </c>
      <c r="CP36" s="81"/>
      <c r="CQ36" s="81" t="str">
        <f t="shared" si="43"/>
        <v>N/A</v>
      </c>
      <c r="CR36" s="81"/>
      <c r="CS36" s="81" t="str">
        <f t="shared" si="43"/>
        <v>N/A</v>
      </c>
      <c r="CT36" s="81"/>
      <c r="CU36" s="81" t="str">
        <f t="shared" si="43"/>
        <v>N/A</v>
      </c>
      <c r="CV36" s="81"/>
      <c r="CW36" s="81" t="str">
        <f t="shared" si="43"/>
        <v>N/A</v>
      </c>
      <c r="CX36" s="81"/>
      <c r="CY36" s="81" t="str">
        <f t="shared" si="43"/>
        <v>N/A</v>
      </c>
      <c r="CZ36" s="81"/>
      <c r="DA36" s="81" t="str">
        <f t="shared" si="43"/>
        <v>N/A</v>
      </c>
    </row>
    <row r="37" spans="1:105" ht="12" customHeight="1" x14ac:dyDescent="0.2">
      <c r="A37" s="302"/>
      <c r="B37" s="302"/>
      <c r="C37" s="300"/>
      <c r="D37" s="520"/>
      <c r="E37" s="306"/>
      <c r="F37" s="306"/>
      <c r="G37" s="306"/>
      <c r="H37" s="306"/>
      <c r="I37" s="306"/>
      <c r="J37" s="306"/>
      <c r="K37" s="306"/>
      <c r="L37" s="306"/>
      <c r="M37" s="306"/>
      <c r="N37" s="306"/>
      <c r="O37" s="306"/>
      <c r="P37" s="306"/>
      <c r="Q37" s="306"/>
      <c r="R37" s="306"/>
      <c r="S37" s="306"/>
      <c r="T37" s="306"/>
      <c r="U37" s="306"/>
      <c r="V37" s="306"/>
      <c r="W37" s="306"/>
      <c r="X37" s="306"/>
      <c r="Y37" s="521"/>
      <c r="Z37" s="306"/>
      <c r="AA37" s="306"/>
      <c r="AB37" s="306"/>
      <c r="AC37" s="636"/>
      <c r="AD37" s="636"/>
      <c r="AE37" s="636"/>
      <c r="AF37" s="636"/>
      <c r="AG37" s="636"/>
      <c r="AH37" s="521"/>
      <c r="AI37" s="522"/>
      <c r="AJ37" s="522"/>
      <c r="AK37" s="522"/>
      <c r="AL37" s="522"/>
      <c r="AM37" s="312"/>
      <c r="AN37" s="312"/>
      <c r="AO37" s="312"/>
      <c r="AP37" s="312"/>
      <c r="AQ37" s="312"/>
      <c r="AR37" s="312"/>
      <c r="AS37" s="312"/>
      <c r="AT37" s="312"/>
      <c r="AU37" s="306"/>
      <c r="AV37" s="306"/>
      <c r="AW37" s="306"/>
      <c r="AX37" s="306"/>
      <c r="AY37" s="306"/>
      <c r="AZ37" s="306"/>
      <c r="BA37" s="306"/>
      <c r="BB37" s="306"/>
      <c r="BC37" s="419"/>
      <c r="BD37" s="524"/>
      <c r="BE37" s="525"/>
      <c r="BF37" s="526"/>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row>
    <row r="38" spans="1:105" ht="24.6" customHeight="1" x14ac:dyDescent="0.2">
      <c r="A38" s="302"/>
      <c r="B38" s="302"/>
      <c r="C38" s="300"/>
      <c r="D38" s="518" t="str">
        <f>D11 &amp; " (W4,4)"</f>
        <v xml:space="preserve">    Industrias manufactureras (CIIU 10-33) (W4,4)</v>
      </c>
      <c r="E38" s="306"/>
      <c r="F38" s="306"/>
      <c r="G38" s="306"/>
      <c r="H38" s="306"/>
      <c r="I38" s="306"/>
      <c r="J38" s="867" t="str">
        <f>D8 &amp; " (W4,1)"</f>
        <v>Total de aguas residuales generadas (W4,1)</v>
      </c>
      <c r="K38" s="847"/>
      <c r="L38" s="847"/>
      <c r="M38" s="847"/>
      <c r="N38" s="848"/>
      <c r="O38" s="306"/>
      <c r="P38" s="306"/>
      <c r="Q38" s="306"/>
      <c r="R38" s="306"/>
      <c r="S38" s="306"/>
      <c r="T38" s="306"/>
      <c r="U38" s="871" t="str">
        <f>D21&amp; " (W4,14)"</f>
        <v>Aguas residuales tratadas en otras plantas de tratamiento (W4,14)</v>
      </c>
      <c r="V38" s="872"/>
      <c r="W38" s="872"/>
      <c r="X38" s="872"/>
      <c r="Y38" s="872"/>
      <c r="Z38" s="872"/>
      <c r="AA38" s="872"/>
      <c r="AB38" s="873"/>
      <c r="AC38" s="636"/>
      <c r="AD38" s="636"/>
      <c r="AE38" s="636"/>
      <c r="AF38" s="636"/>
      <c r="AG38" s="636"/>
      <c r="AH38" s="521"/>
      <c r="AI38" s="521"/>
      <c r="AJ38" s="521"/>
      <c r="AK38" s="521"/>
      <c r="AL38" s="521"/>
      <c r="AM38" s="522"/>
      <c r="AN38" s="522"/>
      <c r="AO38" s="522"/>
      <c r="AP38" s="522"/>
      <c r="AQ38" s="522"/>
      <c r="AR38" s="522"/>
      <c r="AS38" s="522"/>
      <c r="AT38" s="522"/>
      <c r="AU38" s="306"/>
      <c r="AV38" s="520"/>
      <c r="AW38" s="520"/>
      <c r="AX38" s="520"/>
      <c r="AY38" s="306"/>
      <c r="AZ38" s="306"/>
      <c r="BA38" s="306"/>
      <c r="BB38" s="306"/>
      <c r="BC38" s="419"/>
      <c r="BD38" s="81">
        <v>14</v>
      </c>
      <c r="BE38" s="269" t="s">
        <v>478</v>
      </c>
      <c r="BF38" s="81" t="s">
        <v>206</v>
      </c>
      <c r="BG38" s="117">
        <f>F17</f>
        <v>0</v>
      </c>
      <c r="BH38" s="117"/>
      <c r="BI38" s="117">
        <f t="shared" ref="BI38:DA38" si="44">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0</v>
      </c>
      <c r="CZ38" s="117"/>
      <c r="DA38" s="117">
        <f t="shared" si="44"/>
        <v>0</v>
      </c>
    </row>
    <row r="39" spans="1:105" ht="6" customHeight="1" x14ac:dyDescent="0.2">
      <c r="A39" s="302"/>
      <c r="B39" s="302"/>
      <c r="C39" s="300"/>
      <c r="D39" s="520"/>
      <c r="E39" s="306"/>
      <c r="F39" s="306"/>
      <c r="G39" s="306"/>
      <c r="H39" s="306"/>
      <c r="I39" s="306"/>
      <c r="J39" s="868"/>
      <c r="K39" s="869"/>
      <c r="L39" s="869"/>
      <c r="M39" s="869"/>
      <c r="N39" s="870"/>
      <c r="O39" s="306"/>
      <c r="P39" s="306"/>
      <c r="Q39" s="306"/>
      <c r="R39" s="306"/>
      <c r="S39" s="306"/>
      <c r="T39" s="306"/>
      <c r="U39" s="306"/>
      <c r="V39" s="306"/>
      <c r="W39" s="306"/>
      <c r="X39" s="521"/>
      <c r="Y39" s="522"/>
      <c r="Z39" s="636"/>
      <c r="AA39" s="636"/>
      <c r="AB39" s="636"/>
      <c r="AC39" s="636"/>
      <c r="AD39" s="636"/>
      <c r="AE39" s="636"/>
      <c r="AF39" s="636"/>
      <c r="AG39" s="636"/>
      <c r="AH39" s="521"/>
      <c r="AI39" s="317"/>
      <c r="AJ39" s="319"/>
      <c r="AK39" s="319"/>
      <c r="AL39" s="319"/>
      <c r="AM39" s="312"/>
      <c r="AN39" s="312"/>
      <c r="AO39" s="312"/>
      <c r="AP39" s="312"/>
      <c r="AQ39" s="312"/>
      <c r="AR39" s="312"/>
      <c r="AS39" s="312"/>
      <c r="AT39" s="312"/>
      <c r="AU39" s="306"/>
      <c r="AV39" s="306"/>
      <c r="AW39" s="306"/>
      <c r="AX39" s="306"/>
      <c r="AY39" s="306"/>
      <c r="AZ39" s="306"/>
      <c r="BA39" s="306"/>
      <c r="BB39" s="306"/>
      <c r="BC39" s="419"/>
      <c r="BD39" s="527"/>
      <c r="BE39" s="526"/>
      <c r="BF39" s="528"/>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row>
    <row r="40" spans="1:105" ht="22.9" customHeight="1" x14ac:dyDescent="0.2">
      <c r="A40" s="302"/>
      <c r="B40" s="302"/>
      <c r="C40" s="300"/>
      <c r="D40" s="518" t="str">
        <f>D12 &amp; " (W4,5)"</f>
        <v xml:space="preserve">    Suministro de electricidad, gas, vapor y aire acondicionado (CIIU 35) (W4,5)</v>
      </c>
      <c r="E40" s="306"/>
      <c r="F40" s="306"/>
      <c r="G40" s="306"/>
      <c r="H40" s="306"/>
      <c r="I40" s="306"/>
      <c r="J40" s="868"/>
      <c r="K40" s="869"/>
      <c r="L40" s="869"/>
      <c r="M40" s="869"/>
      <c r="N40" s="870"/>
      <c r="O40" s="306"/>
      <c r="P40" s="306"/>
      <c r="Q40" s="306"/>
      <c r="R40" s="306"/>
      <c r="S40" s="306"/>
      <c r="T40" s="306"/>
      <c r="U40" s="211"/>
      <c r="V40" s="211"/>
      <c r="W40" s="211"/>
      <c r="X40" s="211"/>
      <c r="Y40" s="211"/>
      <c r="Z40" s="211"/>
      <c r="AA40" s="211"/>
      <c r="AB40" s="211"/>
      <c r="AC40" s="636"/>
      <c r="AD40" s="636"/>
      <c r="AE40" s="636"/>
      <c r="AF40" s="636"/>
      <c r="AG40" s="636"/>
      <c r="AH40" s="521"/>
      <c r="AI40" s="225"/>
      <c r="AJ40" s="521"/>
      <c r="AK40" s="521"/>
      <c r="AL40" s="521"/>
      <c r="AM40" s="522"/>
      <c r="AN40" s="522"/>
      <c r="AO40" s="522"/>
      <c r="AP40" s="522"/>
      <c r="AQ40" s="522"/>
      <c r="AR40" s="522"/>
      <c r="AS40" s="522"/>
      <c r="AT40" s="522"/>
      <c r="AU40" s="306"/>
      <c r="AV40" s="520"/>
      <c r="AW40" s="520"/>
      <c r="AX40" s="520"/>
      <c r="AY40" s="306"/>
      <c r="AZ40" s="306"/>
      <c r="BA40" s="306"/>
      <c r="BB40" s="306"/>
      <c r="BC40" s="529"/>
      <c r="BD40" s="320">
        <v>23</v>
      </c>
      <c r="BE40" s="530" t="s">
        <v>617</v>
      </c>
      <c r="BF40" s="115" t="s">
        <v>206</v>
      </c>
      <c r="BG40" s="117">
        <f>SUM(F18:F20)</f>
        <v>0</v>
      </c>
      <c r="BH40" s="117"/>
      <c r="BI40" s="117">
        <f t="shared" ref="BI40:DA40" si="45">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row>
    <row r="41" spans="1:105" ht="7.15" customHeight="1" x14ac:dyDescent="0.2">
      <c r="A41" s="302"/>
      <c r="B41" s="302"/>
      <c r="C41" s="300"/>
      <c r="D41" s="312"/>
      <c r="E41" s="306"/>
      <c r="F41" s="306"/>
      <c r="G41" s="306"/>
      <c r="H41" s="306"/>
      <c r="I41" s="306"/>
      <c r="J41" s="834"/>
      <c r="K41" s="835"/>
      <c r="L41" s="835"/>
      <c r="M41" s="835"/>
      <c r="N41" s="836"/>
      <c r="O41" s="306"/>
      <c r="P41" s="306"/>
      <c r="Q41" s="306"/>
      <c r="R41" s="306"/>
      <c r="S41" s="306"/>
      <c r="T41" s="306"/>
      <c r="U41" s="306"/>
      <c r="V41" s="306"/>
      <c r="W41" s="306"/>
      <c r="X41" s="521"/>
      <c r="Y41" s="522"/>
      <c r="Z41" s="636"/>
      <c r="AA41" s="636"/>
      <c r="AB41" s="636"/>
      <c r="AC41" s="521"/>
      <c r="AD41" s="521"/>
      <c r="AE41" s="521"/>
      <c r="AF41" s="521"/>
      <c r="AG41" s="521"/>
      <c r="AH41" s="521"/>
      <c r="AI41" s="531"/>
      <c r="AJ41" s="319"/>
      <c r="AK41" s="319"/>
      <c r="AL41" s="319"/>
      <c r="AM41" s="312"/>
      <c r="AN41" s="312"/>
      <c r="AO41" s="312"/>
      <c r="AP41" s="312"/>
      <c r="AQ41" s="312"/>
      <c r="AR41" s="312"/>
      <c r="AS41" s="312"/>
      <c r="AT41" s="312"/>
      <c r="AU41" s="306"/>
      <c r="AV41" s="306"/>
      <c r="AW41" s="306"/>
      <c r="AX41" s="306"/>
      <c r="AY41" s="306"/>
      <c r="AZ41" s="306"/>
      <c r="BA41" s="306"/>
      <c r="BB41" s="306"/>
      <c r="BC41" s="529"/>
      <c r="BD41" s="532"/>
      <c r="BE41" s="525"/>
      <c r="BF41" s="526"/>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row>
    <row r="42" spans="1:105" ht="22.5" customHeight="1" x14ac:dyDescent="0.2">
      <c r="A42" s="302"/>
      <c r="B42" s="302"/>
      <c r="C42" s="300"/>
      <c r="D42" s="518" t="str">
        <f>D14 &amp; " (W4,7)"</f>
        <v xml:space="preserve">    Construcción (W4,7)</v>
      </c>
      <c r="E42" s="306"/>
      <c r="F42" s="306"/>
      <c r="G42" s="306"/>
      <c r="H42" s="306"/>
      <c r="I42" s="306"/>
      <c r="J42" s="620"/>
      <c r="K42" s="620"/>
      <c r="L42" s="620"/>
      <c r="M42" s="620"/>
      <c r="N42" s="620"/>
      <c r="O42" s="306"/>
      <c r="P42" s="306"/>
      <c r="Q42" s="306"/>
      <c r="R42" s="306"/>
      <c r="S42" s="306"/>
      <c r="T42" s="306"/>
      <c r="U42" s="871" t="str">
        <f>D25&amp; " (W4,18)"</f>
        <v>Tratamiento independiente de aguas residuales (W4,18)</v>
      </c>
      <c r="V42" s="872"/>
      <c r="W42" s="872"/>
      <c r="X42" s="872"/>
      <c r="Y42" s="872"/>
      <c r="Z42" s="872"/>
      <c r="AA42" s="872"/>
      <c r="AB42" s="873"/>
      <c r="AC42" s="521"/>
      <c r="AD42" s="521"/>
      <c r="AE42" s="521"/>
      <c r="AF42" s="521"/>
      <c r="AG42" s="521"/>
      <c r="AH42" s="521"/>
      <c r="AI42" s="531"/>
      <c r="AJ42" s="319"/>
      <c r="AK42" s="319"/>
      <c r="AL42" s="319"/>
      <c r="AM42" s="312"/>
      <c r="AN42" s="312"/>
      <c r="AO42" s="312"/>
      <c r="AP42" s="312"/>
      <c r="AQ42" s="312"/>
      <c r="AR42" s="312"/>
      <c r="AS42" s="312"/>
      <c r="AT42" s="312"/>
      <c r="AU42" s="306"/>
      <c r="AV42" s="306"/>
      <c r="AW42" s="306"/>
      <c r="AX42" s="306"/>
      <c r="AY42" s="306"/>
      <c r="AZ42" s="306"/>
      <c r="BA42" s="306"/>
      <c r="BB42" s="306"/>
      <c r="BC42" s="529"/>
      <c r="BD42" s="308" t="s">
        <v>139</v>
      </c>
      <c r="BE42" s="304" t="s">
        <v>618</v>
      </c>
      <c r="BF42" s="81"/>
      <c r="BG42" s="115" t="str">
        <f>IF(OR(ISBLANK(F17),ISBLANK(F18),ISBLANK(F19),ISBLANK(F20)),"N/A",IF((BG38=BG40),"ok","&lt;&gt;"))</f>
        <v>N/A</v>
      </c>
      <c r="BH42" s="115"/>
      <c r="BI42" s="115" t="str">
        <f t="shared" ref="BI42:DA42" si="46">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row>
    <row r="43" spans="1:105" ht="7.15" customHeight="1" x14ac:dyDescent="0.2">
      <c r="A43" s="302"/>
      <c r="B43" s="302"/>
      <c r="C43" s="300"/>
      <c r="D43" s="312"/>
      <c r="E43" s="306"/>
      <c r="F43" s="306"/>
      <c r="G43" s="306"/>
      <c r="H43" s="306"/>
      <c r="I43" s="306"/>
      <c r="J43" s="620"/>
      <c r="K43" s="620"/>
      <c r="L43" s="620"/>
      <c r="M43" s="620"/>
      <c r="N43" s="620"/>
      <c r="O43" s="306"/>
      <c r="P43" s="306"/>
      <c r="Q43" s="306"/>
      <c r="R43" s="306"/>
      <c r="S43" s="306"/>
      <c r="T43" s="306"/>
      <c r="U43" s="306"/>
      <c r="V43" s="306"/>
      <c r="W43" s="306"/>
      <c r="X43" s="306"/>
      <c r="Y43" s="306"/>
      <c r="Z43" s="306"/>
      <c r="AA43" s="306"/>
      <c r="AB43" s="306"/>
      <c r="AC43" s="521"/>
      <c r="AD43" s="521"/>
      <c r="AE43" s="521"/>
      <c r="AF43" s="521"/>
      <c r="AG43" s="521"/>
      <c r="AH43" s="521"/>
      <c r="AI43" s="531"/>
      <c r="AJ43" s="319"/>
      <c r="AK43" s="319"/>
      <c r="AL43" s="319"/>
      <c r="AM43" s="312"/>
      <c r="AN43" s="312"/>
      <c r="AO43" s="312"/>
      <c r="AP43" s="312"/>
      <c r="AQ43" s="312"/>
      <c r="AR43" s="312"/>
      <c r="AS43" s="312"/>
      <c r="AT43" s="312"/>
      <c r="AU43" s="306"/>
      <c r="AV43" s="306"/>
      <c r="AW43" s="306"/>
      <c r="AX43" s="306"/>
      <c r="AY43" s="306"/>
      <c r="AZ43" s="306"/>
      <c r="BA43" s="306"/>
      <c r="BB43" s="306"/>
      <c r="BC43" s="529"/>
      <c r="BD43" s="534"/>
      <c r="BE43" s="526"/>
      <c r="BF43" s="526"/>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row>
    <row r="44" spans="1:105" ht="22.5" customHeight="1" x14ac:dyDescent="0.2">
      <c r="A44" s="302"/>
      <c r="B44" s="302"/>
      <c r="C44" s="300"/>
      <c r="D44" s="518" t="str">
        <f>D15 &amp; " (W4,8)"</f>
        <v xml:space="preserve">    Otras actividades económicas (W4,8)</v>
      </c>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521"/>
      <c r="AD44" s="521"/>
      <c r="AE44" s="521"/>
      <c r="AF44" s="521"/>
      <c r="AG44" s="521"/>
      <c r="AH44" s="521"/>
      <c r="AI44" s="531"/>
      <c r="AJ44" s="319"/>
      <c r="AK44" s="319"/>
      <c r="AL44" s="319"/>
      <c r="AM44" s="312"/>
      <c r="AN44" s="312"/>
      <c r="AO44" s="312"/>
      <c r="AP44" s="312"/>
      <c r="AQ44" s="312"/>
      <c r="AR44" s="312"/>
      <c r="AS44" s="312"/>
      <c r="AT44" s="312"/>
      <c r="AU44" s="306"/>
      <c r="AV44" s="306"/>
      <c r="AW44" s="306"/>
      <c r="AX44" s="306"/>
      <c r="AY44" s="306"/>
      <c r="AZ44" s="306"/>
      <c r="BA44" s="306"/>
      <c r="BB44" s="306"/>
      <c r="BC44" s="529"/>
      <c r="BD44" s="81">
        <v>11</v>
      </c>
      <c r="BE44" s="269" t="s">
        <v>472</v>
      </c>
      <c r="BF44" s="115" t="s">
        <v>206</v>
      </c>
      <c r="BG44" s="117">
        <f>F21</f>
        <v>0</v>
      </c>
      <c r="BH44" s="117"/>
      <c r="BI44" s="117">
        <f t="shared" ref="BI44:DA44" si="47">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232.60608700061067</v>
      </c>
      <c r="CV44" s="117"/>
      <c r="CW44" s="117">
        <f t="shared" si="47"/>
        <v>230.79079235534786</v>
      </c>
      <c r="CX44" s="117"/>
      <c r="CY44" s="117">
        <f t="shared" si="47"/>
        <v>238.6235331576091</v>
      </c>
      <c r="CZ44" s="117"/>
      <c r="DA44" s="117">
        <f t="shared" si="47"/>
        <v>0</v>
      </c>
    </row>
    <row r="45" spans="1:105" ht="7.15" customHeight="1" x14ac:dyDescent="0.2">
      <c r="A45" s="302"/>
      <c r="B45" s="302"/>
      <c r="C45" s="300"/>
      <c r="D45" s="533"/>
      <c r="E45" s="306"/>
      <c r="F45" s="306"/>
      <c r="G45" s="306"/>
      <c r="H45" s="306"/>
      <c r="I45" s="306"/>
      <c r="J45" s="306"/>
      <c r="K45" s="306"/>
      <c r="L45" s="306"/>
      <c r="M45" s="306"/>
      <c r="N45" s="306"/>
      <c r="O45" s="306"/>
      <c r="P45" s="306"/>
      <c r="Q45" s="306"/>
      <c r="R45" s="306"/>
      <c r="S45" s="306"/>
      <c r="T45" s="306"/>
      <c r="U45" s="211"/>
      <c r="V45" s="211"/>
      <c r="W45" s="211"/>
      <c r="X45" s="211"/>
      <c r="Y45" s="211"/>
      <c r="Z45" s="211"/>
      <c r="AA45" s="211"/>
      <c r="AB45" s="211"/>
      <c r="AC45" s="521"/>
      <c r="AD45" s="521"/>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529"/>
      <c r="BD45" s="535"/>
      <c r="BE45" s="536"/>
      <c r="BF45" s="537"/>
      <c r="BG45" s="538"/>
      <c r="BH45" s="538"/>
      <c r="BI45" s="538"/>
      <c r="BJ45" s="538"/>
      <c r="BK45" s="538"/>
      <c r="BL45" s="538"/>
      <c r="BM45" s="538"/>
      <c r="BN45" s="538"/>
      <c r="BO45" s="538"/>
      <c r="BP45" s="538"/>
      <c r="BQ45" s="538"/>
      <c r="BR45" s="538"/>
      <c r="BS45" s="538"/>
      <c r="BT45" s="538"/>
      <c r="BU45" s="538"/>
      <c r="BV45" s="538"/>
      <c r="BW45" s="538"/>
      <c r="BX45" s="538"/>
      <c r="BY45" s="538"/>
      <c r="BZ45" s="538"/>
      <c r="CA45" s="538"/>
      <c r="CB45" s="538"/>
      <c r="CC45" s="538"/>
      <c r="CD45" s="538"/>
      <c r="CE45" s="538"/>
      <c r="CF45" s="538"/>
      <c r="CG45" s="538"/>
      <c r="CH45" s="538"/>
      <c r="CI45" s="538"/>
      <c r="CJ45" s="538"/>
      <c r="CK45" s="538"/>
      <c r="CL45" s="538"/>
      <c r="CM45" s="538"/>
      <c r="CN45" s="538"/>
      <c r="CO45" s="538"/>
      <c r="CP45" s="538"/>
      <c r="CQ45" s="538"/>
      <c r="CR45" s="538"/>
      <c r="CS45" s="538"/>
      <c r="CT45" s="538"/>
      <c r="CU45" s="538"/>
      <c r="CV45" s="538"/>
      <c r="CW45" s="538"/>
      <c r="CX45" s="538"/>
      <c r="CY45" s="538"/>
      <c r="CZ45" s="538"/>
      <c r="DA45" s="538"/>
    </row>
    <row r="46" spans="1:105" s="220" customFormat="1" ht="15.75" customHeight="1" x14ac:dyDescent="0.2">
      <c r="A46" s="198"/>
      <c r="B46" s="199"/>
      <c r="C46" s="424"/>
      <c r="D46" s="518" t="str">
        <f>D16 &amp; " (W4,6)"</f>
        <v xml:space="preserve">    Hogares (W4,6)</v>
      </c>
      <c r="E46" s="306"/>
      <c r="F46" s="306"/>
      <c r="G46" s="306"/>
      <c r="H46" s="306"/>
      <c r="I46" s="306"/>
      <c r="J46" s="306"/>
      <c r="K46" s="306"/>
      <c r="L46" s="306"/>
      <c r="M46" s="306"/>
      <c r="N46" s="306"/>
      <c r="O46" s="306"/>
      <c r="P46" s="306"/>
      <c r="Q46" s="306"/>
      <c r="R46" s="306"/>
      <c r="S46" s="306"/>
      <c r="T46" s="306"/>
      <c r="U46" s="871" t="str">
        <f>D26&amp; " (W4,19)"</f>
        <v>Aguas residuales no tratadas (W4,19)</v>
      </c>
      <c r="V46" s="872"/>
      <c r="W46" s="872"/>
      <c r="X46" s="872"/>
      <c r="Y46" s="872"/>
      <c r="Z46" s="872"/>
      <c r="AA46" s="872"/>
      <c r="AB46" s="873"/>
      <c r="AC46" s="521"/>
      <c r="AD46" s="306"/>
      <c r="AE46" s="306"/>
      <c r="AF46" s="306"/>
      <c r="AG46" s="306"/>
      <c r="AH46" s="306"/>
      <c r="AI46" s="306"/>
      <c r="AJ46" s="306"/>
      <c r="AK46" s="306"/>
      <c r="AL46" s="306"/>
      <c r="AM46" s="306"/>
      <c r="AN46" s="306"/>
      <c r="AO46" s="306"/>
      <c r="AP46" s="306"/>
      <c r="AQ46" s="306"/>
      <c r="AR46" s="306"/>
      <c r="AS46" s="306"/>
      <c r="AT46" s="306"/>
      <c r="AU46" s="491"/>
      <c r="AV46" s="306"/>
      <c r="AW46" s="306"/>
      <c r="AX46" s="306"/>
      <c r="AY46" s="491"/>
      <c r="AZ46" s="491"/>
      <c r="BA46" s="491"/>
      <c r="BB46" s="491"/>
      <c r="BC46" s="209"/>
      <c r="BD46" s="320">
        <v>24</v>
      </c>
      <c r="BE46" s="304" t="s">
        <v>619</v>
      </c>
      <c r="BF46" s="81" t="s">
        <v>206</v>
      </c>
      <c r="BG46" s="115">
        <f>SUM(F22:F24)</f>
        <v>0</v>
      </c>
      <c r="BH46" s="115"/>
      <c r="BI46" s="115">
        <f t="shared" ref="BI46:DA46" si="48">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row>
    <row r="47" spans="1:105" s="220" customFormat="1" ht="6.75" customHeight="1" x14ac:dyDescent="0.2">
      <c r="A47" s="198"/>
      <c r="B47" s="199"/>
      <c r="C47" s="424"/>
      <c r="D47" s="517"/>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491"/>
      <c r="AV47" s="306"/>
      <c r="AW47" s="306"/>
      <c r="AX47" s="306"/>
      <c r="AY47" s="491"/>
      <c r="AZ47" s="491"/>
      <c r="BA47" s="491"/>
      <c r="BB47" s="491"/>
      <c r="BC47" s="209"/>
      <c r="BD47" s="337" t="s">
        <v>139</v>
      </c>
      <c r="BE47" s="338" t="s">
        <v>181</v>
      </c>
      <c r="BF47" s="96"/>
      <c r="BG47" s="539" t="str">
        <f>IF(OR(ISBLANK(F21),ISBLANK(F22),ISBLANK(F23),ISBLANK(F24)),"N/A",IF((BG44=BG46),"ok","&lt;&gt;"))</f>
        <v>N/A</v>
      </c>
      <c r="BH47" s="539"/>
      <c r="BI47" s="539" t="str">
        <f t="shared" ref="BI47:DA47" si="49">IF(OR(ISBLANK(H21),ISBLANK(H22),ISBLANK(H23),ISBLANK(H24)),"N/A",IF((BI44=BI46),"ok","&lt;&gt;"))</f>
        <v>N/A</v>
      </c>
      <c r="BJ47" s="539"/>
      <c r="BK47" s="539" t="str">
        <f t="shared" si="49"/>
        <v>N/A</v>
      </c>
      <c r="BL47" s="539"/>
      <c r="BM47" s="539" t="str">
        <f t="shared" si="49"/>
        <v>N/A</v>
      </c>
      <c r="BN47" s="539"/>
      <c r="BO47" s="539" t="str">
        <f t="shared" si="49"/>
        <v>N/A</v>
      </c>
      <c r="BP47" s="539"/>
      <c r="BQ47" s="539" t="str">
        <f t="shared" si="49"/>
        <v>N/A</v>
      </c>
      <c r="BR47" s="539"/>
      <c r="BS47" s="539" t="str">
        <f t="shared" si="49"/>
        <v>N/A</v>
      </c>
      <c r="BT47" s="539"/>
      <c r="BU47" s="539" t="str">
        <f t="shared" si="49"/>
        <v>N/A</v>
      </c>
      <c r="BV47" s="539"/>
      <c r="BW47" s="539" t="str">
        <f t="shared" si="49"/>
        <v>N/A</v>
      </c>
      <c r="BX47" s="539"/>
      <c r="BY47" s="539" t="str">
        <f t="shared" si="49"/>
        <v>N/A</v>
      </c>
      <c r="BZ47" s="539"/>
      <c r="CA47" s="539" t="str">
        <f t="shared" si="49"/>
        <v>N/A</v>
      </c>
      <c r="CB47" s="539"/>
      <c r="CC47" s="539" t="str">
        <f t="shared" si="49"/>
        <v>N/A</v>
      </c>
      <c r="CD47" s="539"/>
      <c r="CE47" s="539" t="str">
        <f t="shared" si="49"/>
        <v>N/A</v>
      </c>
      <c r="CF47" s="539"/>
      <c r="CG47" s="539" t="str">
        <f t="shared" si="49"/>
        <v>N/A</v>
      </c>
      <c r="CH47" s="539"/>
      <c r="CI47" s="539" t="str">
        <f t="shared" si="49"/>
        <v>N/A</v>
      </c>
      <c r="CJ47" s="539"/>
      <c r="CK47" s="539" t="str">
        <f t="shared" si="49"/>
        <v>N/A</v>
      </c>
      <c r="CL47" s="539"/>
      <c r="CM47" s="539" t="str">
        <f t="shared" si="49"/>
        <v>N/A</v>
      </c>
      <c r="CN47" s="539"/>
      <c r="CO47" s="539" t="str">
        <f t="shared" si="49"/>
        <v>N/A</v>
      </c>
      <c r="CP47" s="539"/>
      <c r="CQ47" s="539" t="str">
        <f t="shared" si="49"/>
        <v>N/A</v>
      </c>
      <c r="CR47" s="539"/>
      <c r="CS47" s="539" t="str">
        <f t="shared" si="49"/>
        <v>N/A</v>
      </c>
      <c r="CT47" s="539"/>
      <c r="CU47" s="539" t="str">
        <f t="shared" si="49"/>
        <v>N/A</v>
      </c>
      <c r="CV47" s="539"/>
      <c r="CW47" s="539" t="str">
        <f t="shared" si="49"/>
        <v>N/A</v>
      </c>
      <c r="CX47" s="539"/>
      <c r="CY47" s="539" t="str">
        <f t="shared" si="49"/>
        <v>N/A</v>
      </c>
      <c r="CZ47" s="539"/>
      <c r="DA47" s="539" t="str">
        <f t="shared" si="49"/>
        <v>N/A</v>
      </c>
    </row>
    <row r="48" spans="1:105" s="452" customFormat="1" ht="17.25" customHeight="1" x14ac:dyDescent="0.25">
      <c r="A48" s="451"/>
      <c r="B48" s="440">
        <v>3</v>
      </c>
      <c r="C48" s="326" t="s">
        <v>122</v>
      </c>
      <c r="D48" s="425"/>
      <c r="E48" s="326"/>
      <c r="F48" s="231"/>
      <c r="G48" s="231"/>
      <c r="H48" s="329"/>
      <c r="I48" s="330"/>
      <c r="J48" s="330"/>
      <c r="K48" s="330"/>
      <c r="L48" s="330"/>
      <c r="M48" s="330"/>
      <c r="N48" s="330"/>
      <c r="O48" s="330"/>
      <c r="P48" s="331"/>
      <c r="Q48" s="330"/>
      <c r="R48" s="331"/>
      <c r="S48" s="330"/>
      <c r="T48" s="331"/>
      <c r="U48" s="330"/>
      <c r="V48" s="331"/>
      <c r="W48" s="330"/>
      <c r="X48" s="329"/>
      <c r="Y48" s="330"/>
      <c r="Z48" s="329"/>
      <c r="AA48" s="330"/>
      <c r="AB48" s="329"/>
      <c r="AC48" s="330"/>
      <c r="AD48" s="329"/>
      <c r="AE48" s="330"/>
      <c r="AF48" s="329"/>
      <c r="AG48" s="426"/>
      <c r="AH48" s="329"/>
      <c r="AI48" s="330"/>
      <c r="AJ48" s="331"/>
      <c r="AK48" s="330"/>
      <c r="AL48" s="329"/>
      <c r="AM48" s="330"/>
      <c r="AN48" s="329"/>
      <c r="AO48" s="330"/>
      <c r="AP48" s="330"/>
      <c r="AQ48" s="330"/>
      <c r="AR48" s="330"/>
      <c r="AS48" s="330"/>
      <c r="AT48" s="382"/>
      <c r="AU48" s="381"/>
      <c r="AV48" s="330"/>
      <c r="AW48" s="330"/>
      <c r="AX48" s="382"/>
      <c r="AY48" s="381"/>
      <c r="AZ48" s="382"/>
      <c r="BA48" s="381"/>
      <c r="BB48" s="459"/>
      <c r="BC48" s="493"/>
      <c r="BD48" s="339" t="s">
        <v>447</v>
      </c>
      <c r="BE48" s="340" t="s">
        <v>448</v>
      </c>
      <c r="BF48" s="302"/>
      <c r="BG48" s="540"/>
      <c r="BH48" s="540"/>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541"/>
      <c r="CH48" s="540"/>
      <c r="CI48" s="302"/>
      <c r="CJ48" s="302"/>
      <c r="CK48" s="302"/>
      <c r="CL48" s="302"/>
      <c r="CM48" s="302"/>
      <c r="CN48" s="302"/>
      <c r="CO48" s="302"/>
      <c r="CP48" s="302"/>
      <c r="CQ48" s="302"/>
      <c r="CR48" s="302"/>
      <c r="CS48" s="302"/>
      <c r="CT48" s="302"/>
      <c r="CU48" s="302"/>
      <c r="CV48" s="302"/>
      <c r="CW48" s="302"/>
      <c r="CX48" s="302"/>
      <c r="CY48" s="302"/>
      <c r="CZ48" s="302"/>
      <c r="DA48" s="302"/>
    </row>
    <row r="49" spans="1:105" ht="14.25" customHeight="1" x14ac:dyDescent="0.25">
      <c r="C49" s="427"/>
      <c r="D49" s="427"/>
      <c r="E49" s="428"/>
      <c r="F49" s="368"/>
      <c r="G49" s="368"/>
      <c r="H49" s="364"/>
      <c r="I49" s="365"/>
      <c r="J49" s="365"/>
      <c r="K49" s="365"/>
      <c r="L49" s="365"/>
      <c r="M49" s="365"/>
      <c r="N49" s="365"/>
      <c r="O49" s="365"/>
      <c r="P49" s="366"/>
      <c r="Q49" s="365"/>
      <c r="R49" s="366"/>
      <c r="S49" s="365"/>
      <c r="T49" s="366"/>
      <c r="U49" s="365"/>
      <c r="V49" s="366"/>
      <c r="W49" s="365"/>
      <c r="X49" s="364"/>
      <c r="Y49" s="365"/>
      <c r="Z49" s="364"/>
      <c r="AA49" s="365"/>
      <c r="AB49" s="364"/>
      <c r="AC49" s="365"/>
      <c r="AD49" s="364"/>
      <c r="AE49" s="365"/>
      <c r="AF49" s="364"/>
      <c r="AG49" s="429"/>
      <c r="AH49" s="364"/>
      <c r="AI49" s="365"/>
      <c r="AJ49" s="366"/>
      <c r="AK49" s="365"/>
      <c r="AL49" s="364"/>
      <c r="AM49" s="367"/>
      <c r="AN49" s="362"/>
      <c r="AO49" s="367"/>
      <c r="AP49" s="367"/>
      <c r="AQ49" s="367"/>
      <c r="AR49" s="367"/>
      <c r="AS49" s="367"/>
      <c r="AV49" s="367"/>
      <c r="AW49" s="367"/>
      <c r="BD49" s="339" t="s">
        <v>449</v>
      </c>
      <c r="BE49" s="340" t="s">
        <v>450</v>
      </c>
      <c r="BF49" s="302"/>
      <c r="BG49" s="302"/>
      <c r="BH49" s="302"/>
      <c r="BI49" s="302"/>
      <c r="BJ49" s="302"/>
      <c r="BK49" s="302"/>
      <c r="BL49" s="302"/>
      <c r="BM49" s="302"/>
      <c r="BN49" s="302"/>
      <c r="BO49" s="302"/>
      <c r="BP49" s="302"/>
      <c r="BQ49" s="302"/>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row>
    <row r="50" spans="1:105" ht="24" customHeight="1" x14ac:dyDescent="0.2">
      <c r="C50" s="495" t="s">
        <v>525</v>
      </c>
      <c r="D50" s="831" t="s">
        <v>526</v>
      </c>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2"/>
      <c r="AY50" s="832"/>
      <c r="AZ50" s="832"/>
      <c r="BA50" s="832"/>
      <c r="BB50" s="833"/>
      <c r="BD50" s="341" t="s">
        <v>452</v>
      </c>
      <c r="BE50" s="340" t="s">
        <v>454</v>
      </c>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302"/>
      <c r="CU50" s="302"/>
      <c r="CV50" s="302"/>
      <c r="CW50" s="302"/>
      <c r="CX50" s="302"/>
      <c r="CY50" s="302"/>
      <c r="CZ50" s="302"/>
      <c r="DA50" s="302"/>
    </row>
    <row r="51" spans="1:105" ht="18" customHeight="1" x14ac:dyDescent="0.2">
      <c r="A51" s="198">
        <v>1</v>
      </c>
      <c r="B51" s="199">
        <v>6047</v>
      </c>
      <c r="C51" s="577" t="s">
        <v>21</v>
      </c>
      <c r="D51" s="799" t="s">
        <v>687</v>
      </c>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0"/>
      <c r="AY51" s="800"/>
      <c r="AZ51" s="800"/>
      <c r="BA51" s="800"/>
      <c r="BB51" s="801"/>
      <c r="BD51" s="341" t="s">
        <v>451</v>
      </c>
      <c r="BE51" s="340" t="s">
        <v>386</v>
      </c>
      <c r="BF51" s="302"/>
      <c r="BG51" s="302"/>
      <c r="BH51" s="302"/>
      <c r="BI51" s="302"/>
      <c r="BJ51" s="302"/>
      <c r="BK51" s="302"/>
      <c r="BL51" s="302"/>
      <c r="BM51" s="302"/>
      <c r="BN51" s="302"/>
      <c r="BO51" s="302"/>
      <c r="BP51" s="302"/>
      <c r="BQ51" s="302"/>
      <c r="BR51" s="302"/>
      <c r="BS51" s="302"/>
      <c r="BT51" s="302"/>
      <c r="BU51" s="302"/>
      <c r="BV51" s="302"/>
      <c r="BW51" s="302"/>
      <c r="BX51" s="302"/>
      <c r="BY51" s="302"/>
      <c r="BZ51" s="302"/>
      <c r="CA51" s="302"/>
      <c r="CB51" s="302"/>
      <c r="CC51" s="302"/>
      <c r="CD51" s="302"/>
      <c r="CE51" s="302"/>
      <c r="CF51" s="302"/>
      <c r="CG51" s="540"/>
      <c r="CH51" s="302"/>
      <c r="CI51" s="302"/>
      <c r="CJ51" s="302"/>
      <c r="CK51" s="302"/>
      <c r="CL51" s="302"/>
      <c r="CM51" s="302"/>
      <c r="CN51" s="302"/>
      <c r="CO51" s="302"/>
      <c r="CP51" s="302"/>
      <c r="CQ51" s="302"/>
      <c r="CR51" s="302"/>
      <c r="CS51" s="302"/>
      <c r="CT51" s="302"/>
      <c r="CU51" s="302"/>
      <c r="CV51" s="302"/>
      <c r="CW51" s="302"/>
      <c r="CX51" s="302"/>
      <c r="CY51" s="302"/>
      <c r="CZ51" s="302"/>
      <c r="DA51" s="302"/>
    </row>
    <row r="52" spans="1:105" ht="18" customHeight="1" x14ac:dyDescent="0.2">
      <c r="A52" s="198">
        <v>0</v>
      </c>
      <c r="B52" s="199">
        <v>6045</v>
      </c>
      <c r="C52" s="577" t="s">
        <v>681</v>
      </c>
      <c r="D52" s="788" t="s">
        <v>686</v>
      </c>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90"/>
    </row>
    <row r="53" spans="1:105" ht="18" customHeight="1" x14ac:dyDescent="0.2">
      <c r="C53" s="577"/>
      <c r="D53" s="788"/>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789"/>
      <c r="AY53" s="789"/>
      <c r="AZ53" s="789"/>
      <c r="BA53" s="789"/>
      <c r="BB53" s="790"/>
    </row>
    <row r="54" spans="1:105" ht="18" customHeight="1" x14ac:dyDescent="0.2">
      <c r="C54" s="577"/>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90"/>
    </row>
    <row r="55" spans="1:105" ht="18" customHeight="1" x14ac:dyDescent="0.2">
      <c r="C55" s="577"/>
      <c r="D55" s="788"/>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89"/>
      <c r="AU55" s="789"/>
      <c r="AV55" s="789"/>
      <c r="AW55" s="789"/>
      <c r="AX55" s="789"/>
      <c r="AY55" s="789"/>
      <c r="AZ55" s="789"/>
      <c r="BA55" s="789"/>
      <c r="BB55" s="790"/>
    </row>
    <row r="56" spans="1:105" ht="18" customHeight="1" x14ac:dyDescent="0.2">
      <c r="C56" s="577"/>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90"/>
    </row>
    <row r="57" spans="1:105" ht="18" customHeight="1" x14ac:dyDescent="0.2">
      <c r="C57" s="577"/>
      <c r="D57" s="788"/>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90"/>
    </row>
    <row r="58" spans="1:105" ht="18" customHeight="1" x14ac:dyDescent="0.2">
      <c r="C58" s="577"/>
      <c r="D58" s="788"/>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90"/>
    </row>
    <row r="59" spans="1:105" ht="18" customHeight="1" x14ac:dyDescent="0.2">
      <c r="C59" s="577"/>
      <c r="D59" s="788"/>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89"/>
      <c r="AY59" s="789"/>
      <c r="AZ59" s="789"/>
      <c r="BA59" s="789"/>
      <c r="BB59" s="790"/>
    </row>
    <row r="60" spans="1:105" ht="18" customHeight="1" x14ac:dyDescent="0.2">
      <c r="C60" s="577"/>
      <c r="D60" s="788"/>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90"/>
    </row>
    <row r="61" spans="1:105" ht="18" customHeight="1" x14ac:dyDescent="0.2">
      <c r="C61" s="577"/>
      <c r="D61" s="788"/>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789"/>
      <c r="AL61" s="789"/>
      <c r="AM61" s="789"/>
      <c r="AN61" s="789"/>
      <c r="AO61" s="789"/>
      <c r="AP61" s="789"/>
      <c r="AQ61" s="789"/>
      <c r="AR61" s="789"/>
      <c r="AS61" s="789"/>
      <c r="AT61" s="789"/>
      <c r="AU61" s="789"/>
      <c r="AV61" s="789"/>
      <c r="AW61" s="789"/>
      <c r="AX61" s="789"/>
      <c r="AY61" s="789"/>
      <c r="AZ61" s="789"/>
      <c r="BA61" s="789"/>
      <c r="BB61" s="790"/>
    </row>
    <row r="62" spans="1:105" ht="18" customHeight="1" x14ac:dyDescent="0.2">
      <c r="C62" s="577"/>
      <c r="D62" s="788"/>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90"/>
    </row>
    <row r="63" spans="1:105" ht="18" customHeight="1" x14ac:dyDescent="0.2">
      <c r="C63" s="577"/>
      <c r="D63" s="788"/>
      <c r="E63" s="789"/>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89"/>
      <c r="AY63" s="789"/>
      <c r="AZ63" s="789"/>
      <c r="BA63" s="789"/>
      <c r="BB63" s="790"/>
    </row>
    <row r="64" spans="1:105" ht="18" customHeight="1" x14ac:dyDescent="0.2">
      <c r="C64" s="577"/>
      <c r="D64" s="788"/>
      <c r="E64" s="789"/>
      <c r="F64" s="789"/>
      <c r="G64" s="789"/>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89"/>
      <c r="AY64" s="789"/>
      <c r="AZ64" s="789"/>
      <c r="BA64" s="789"/>
      <c r="BB64" s="790"/>
    </row>
    <row r="65" spans="1:56" ht="18" customHeight="1" x14ac:dyDescent="0.2">
      <c r="C65" s="577"/>
      <c r="D65" s="788"/>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89"/>
      <c r="AY65" s="789"/>
      <c r="AZ65" s="789"/>
      <c r="BA65" s="789"/>
      <c r="BB65" s="790"/>
    </row>
    <row r="66" spans="1:56" ht="18" customHeight="1" x14ac:dyDescent="0.2">
      <c r="C66" s="577"/>
      <c r="D66" s="788"/>
      <c r="E66" s="789"/>
      <c r="F66" s="789"/>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90"/>
    </row>
    <row r="67" spans="1:56" ht="18" customHeight="1" x14ac:dyDescent="0.2">
      <c r="C67" s="577"/>
      <c r="D67" s="788"/>
      <c r="E67" s="789"/>
      <c r="F67" s="789"/>
      <c r="G67" s="789"/>
      <c r="H67" s="789"/>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89"/>
      <c r="AQ67" s="789"/>
      <c r="AR67" s="789"/>
      <c r="AS67" s="789"/>
      <c r="AT67" s="789"/>
      <c r="AU67" s="789"/>
      <c r="AV67" s="789"/>
      <c r="AW67" s="789"/>
      <c r="AX67" s="789"/>
      <c r="AY67" s="789"/>
      <c r="AZ67" s="789"/>
      <c r="BA67" s="789"/>
      <c r="BB67" s="790"/>
    </row>
    <row r="68" spans="1:56" ht="18" customHeight="1" x14ac:dyDescent="0.2">
      <c r="C68" s="577"/>
      <c r="D68" s="788"/>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90"/>
    </row>
    <row r="69" spans="1:56" ht="18" customHeight="1" x14ac:dyDescent="0.2">
      <c r="C69" s="577"/>
      <c r="D69" s="788"/>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9"/>
      <c r="AN69" s="789"/>
      <c r="AO69" s="789"/>
      <c r="AP69" s="789"/>
      <c r="AQ69" s="789"/>
      <c r="AR69" s="789"/>
      <c r="AS69" s="789"/>
      <c r="AT69" s="789"/>
      <c r="AU69" s="789"/>
      <c r="AV69" s="789"/>
      <c r="AW69" s="789"/>
      <c r="AX69" s="789"/>
      <c r="AY69" s="789"/>
      <c r="AZ69" s="789"/>
      <c r="BA69" s="789"/>
      <c r="BB69" s="790"/>
    </row>
    <row r="70" spans="1:56" ht="18" customHeight="1" x14ac:dyDescent="0.2">
      <c r="C70" s="577"/>
      <c r="D70" s="788"/>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89"/>
      <c r="AY70" s="789"/>
      <c r="AZ70" s="789"/>
      <c r="BA70" s="789"/>
      <c r="BB70" s="790"/>
    </row>
    <row r="71" spans="1:56" ht="18" customHeight="1" x14ac:dyDescent="0.2">
      <c r="C71" s="585"/>
      <c r="D71" s="788"/>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89"/>
      <c r="AY71" s="789"/>
      <c r="AZ71" s="789"/>
      <c r="BA71" s="789"/>
      <c r="BB71" s="790"/>
    </row>
    <row r="72" spans="1:56" ht="18" customHeight="1" x14ac:dyDescent="0.2">
      <c r="C72" s="586"/>
      <c r="D72" s="793"/>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4"/>
      <c r="AY72" s="794"/>
      <c r="AZ72" s="794"/>
      <c r="BA72" s="794"/>
      <c r="BB72" s="795"/>
    </row>
    <row r="73" spans="1:56" s="305" customFormat="1" ht="10.5" customHeight="1" x14ac:dyDescent="0.2">
      <c r="A73" s="497"/>
      <c r="B73" s="432"/>
      <c r="C73" s="452"/>
      <c r="D73" s="452"/>
      <c r="E73" s="211"/>
      <c r="F73" s="343"/>
      <c r="G73" s="343"/>
      <c r="H73" s="239"/>
      <c r="I73" s="240"/>
      <c r="J73" s="240"/>
      <c r="K73" s="240"/>
      <c r="L73" s="240"/>
      <c r="M73" s="240"/>
      <c r="N73" s="240"/>
      <c r="O73" s="240"/>
      <c r="P73" s="241"/>
      <c r="Q73" s="240"/>
      <c r="R73" s="241"/>
      <c r="S73" s="240"/>
      <c r="T73" s="241"/>
      <c r="U73" s="240"/>
      <c r="V73" s="241"/>
      <c r="W73" s="240"/>
      <c r="X73" s="239"/>
      <c r="Y73" s="240"/>
      <c r="Z73" s="239"/>
      <c r="AA73" s="240"/>
      <c r="AB73" s="239"/>
      <c r="AC73" s="240"/>
      <c r="AD73" s="239"/>
      <c r="AE73" s="240"/>
      <c r="AF73" s="239"/>
      <c r="AG73" s="498"/>
      <c r="AH73" s="239"/>
      <c r="AI73" s="240"/>
      <c r="AJ73" s="241"/>
      <c r="AK73" s="240"/>
      <c r="AL73" s="239"/>
      <c r="AM73" s="240"/>
      <c r="AN73" s="239"/>
      <c r="AO73" s="367"/>
      <c r="AP73" s="367"/>
      <c r="AQ73" s="367"/>
      <c r="AR73" s="367"/>
      <c r="AS73" s="367"/>
      <c r="AT73" s="362"/>
      <c r="AU73" s="367"/>
      <c r="AV73" s="367"/>
      <c r="AW73" s="367"/>
      <c r="AX73" s="362"/>
      <c r="AY73" s="367"/>
      <c r="AZ73" s="362"/>
      <c r="BA73" s="367"/>
      <c r="BC73" s="453"/>
      <c r="BD73" s="421"/>
    </row>
  </sheetData>
  <sheetProtection sheet="1" objects="1" scenarios="1" formatCells="0" formatColumns="0" formatRows="0" insertColumns="0"/>
  <mergeCells count="32">
    <mergeCell ref="D71:BB71"/>
    <mergeCell ref="D58:BB58"/>
    <mergeCell ref="D69:BB69"/>
    <mergeCell ref="D61:BB61"/>
    <mergeCell ref="D62:BB62"/>
    <mergeCell ref="D63:BB63"/>
    <mergeCell ref="D64:BB64"/>
    <mergeCell ref="D59:BB59"/>
    <mergeCell ref="D57:BB57"/>
    <mergeCell ref="D60:BB60"/>
    <mergeCell ref="C5:AN5"/>
    <mergeCell ref="D72:BB72"/>
    <mergeCell ref="D65:BB65"/>
    <mergeCell ref="D66:BB66"/>
    <mergeCell ref="D67:BB67"/>
    <mergeCell ref="D68:BB68"/>
    <mergeCell ref="D50:BB50"/>
    <mergeCell ref="D70:BB70"/>
    <mergeCell ref="D55:BB55"/>
    <mergeCell ref="D53:BB53"/>
    <mergeCell ref="D54:BB54"/>
    <mergeCell ref="D51:BB51"/>
    <mergeCell ref="D52:BB52"/>
    <mergeCell ref="D56:BB56"/>
    <mergeCell ref="J38:N41"/>
    <mergeCell ref="U42:AB42"/>
    <mergeCell ref="U46:AB46"/>
    <mergeCell ref="D33:BB33"/>
    <mergeCell ref="D31:BB31"/>
    <mergeCell ref="U34:AB34"/>
    <mergeCell ref="U38:AB38"/>
    <mergeCell ref="D32:BB32"/>
  </mergeCells>
  <phoneticPr fontId="10" type="noConversion"/>
  <conditionalFormatting sqref="F8 H8 J8 L8 N8 P8 R8 T8 V8 X8 Z8 AB8 AD8 AF8 AH8 AJ8 AL8 AN8 AP8 AR8 AT8 AZ8">
    <cfRule type="cellIs" dxfId="75" priority="14" stopIfTrue="1" operator="lessThan">
      <formula>0.99*(F9+F10+F11+F12+F14+F15+F16)</formula>
    </cfRule>
  </conditionalFormatting>
  <conditionalFormatting sqref="F17 H17 J17 L17 N17 P17 R17 T17 V17 X17 Z17 AB17 AD17 AF17 AH17 AJ17 AL17 AN17 AP17 AR17 AT17 AZ17">
    <cfRule type="cellIs" dxfId="74" priority="13" stopIfTrue="1" operator="lessThan">
      <formula>0.99*(F18+F19+F20)</formula>
    </cfRule>
  </conditionalFormatting>
  <conditionalFormatting sqref="F21 H21 J21 L21 N21 P21 R21 T21 V21 X21 Z21 AB21 AD21 AF21 AH21 AJ21 AL21 AN21 AP21 AR21 AT21 AZ21">
    <cfRule type="cellIs" dxfId="73" priority="12" stopIfTrue="1" operator="lessThan">
      <formula>0.99*(F22+F23+F24)</formula>
    </cfRule>
  </conditionalFormatting>
  <conditionalFormatting sqref="BG42:DA42 BG36:DA36 BG47:DA47">
    <cfRule type="cellIs" dxfId="72" priority="11" stopIfTrue="1" operator="equal">
      <formula>"&lt;&gt;"</formula>
    </cfRule>
  </conditionalFormatting>
  <conditionalFormatting sqref="BI8:BI27">
    <cfRule type="cellIs" dxfId="71" priority="9" stopIfTrue="1" operator="equal">
      <formula>"&gt; 100%"</formula>
    </cfRule>
  </conditionalFormatting>
  <conditionalFormatting sqref="BS8:BS27 BU8:BU27 BW8:BW27 BY8:BY27 CA8:CA27 CC8:CC27 CE8:CE27 CG8:CG27 CI8:CI27 CK8:CK27 CM8:CM27 CO8:CO27 CQ8:CQ27 CS8:CS27 CU8:CU27 BK8:BK27 BM8:BM27 BO8:BO27 BQ8:BQ27 DA8:DA27">
    <cfRule type="cellIs" dxfId="70" priority="10" stopIfTrue="1" operator="equal">
      <formula>"&gt; 25%"</formula>
    </cfRule>
  </conditionalFormatting>
  <conditionalFormatting sqref="BG33:DA33">
    <cfRule type="cellIs" dxfId="69" priority="8" stopIfTrue="1" operator="equal">
      <formula>"&lt;&gt;"</formula>
    </cfRule>
  </conditionalFormatting>
  <conditionalFormatting sqref="CW8:CW27 CY8:CY27">
    <cfRule type="cellIs" dxfId="68" priority="7" stopIfTrue="1" operator="equal">
      <formula>"&gt; 25%"</formula>
    </cfRule>
  </conditionalFormatting>
  <conditionalFormatting sqref="AV8">
    <cfRule type="cellIs" dxfId="67" priority="6" stopIfTrue="1" operator="lessThan">
      <formula>0.99*(AV9+AV10+AV11+AV12+AV14+AV15+AV16)</formula>
    </cfRule>
  </conditionalFormatting>
  <conditionalFormatting sqref="AV17">
    <cfRule type="cellIs" dxfId="66" priority="5" stopIfTrue="1" operator="lessThan">
      <formula>0.99*(AV18+AV19+AV20)</formula>
    </cfRule>
  </conditionalFormatting>
  <conditionalFormatting sqref="AV21">
    <cfRule type="cellIs" dxfId="65" priority="4" stopIfTrue="1" operator="lessThan">
      <formula>0.99*(AV22+AV23+AV24)</formula>
    </cfRule>
  </conditionalFormatting>
  <conditionalFormatting sqref="AX8">
    <cfRule type="cellIs" dxfId="64" priority="3" stopIfTrue="1" operator="lessThan">
      <formula>0.99*(AX9+AX10+AX11+AX12+AX14+AX15+AX16)</formula>
    </cfRule>
  </conditionalFormatting>
  <conditionalFormatting sqref="AX17">
    <cfRule type="cellIs" dxfId="63" priority="2" stopIfTrue="1" operator="lessThan">
      <formula>0.99*(AX18+AX19+AX20)</formula>
    </cfRule>
  </conditionalFormatting>
  <conditionalFormatting sqref="AX21">
    <cfRule type="cellIs" dxfId="62" priority="1" stopIfTrue="1" operator="lessThan">
      <formula>0.99*(AX22+AX23+AX24)</formula>
    </cfRule>
  </conditionalFormatting>
  <printOptions horizontalCentered="1"/>
  <pageMargins left="0.5" right="0.5" top="0.75" bottom="0.75" header="0.5" footer="0.5"/>
  <pageSetup paperSize="9" scale="54" firstPageNumber="21" fitToHeight="0" orientation="landscape" r:id="rId1"/>
  <headerFooter alignWithMargins="0">
    <oddFooter>&amp;C&amp;"Arial,Regular"UNSD/Programa de las Naciones Unidas para el Medio AmbienteCuestionario 2018 Estadisticas Ambientales -  Sección del Agua -  &amp;P</oddFooter>
  </headerFooter>
  <rowBreaks count="1" manualBreakCount="1">
    <brk id="47"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DP73"/>
  <sheetViews>
    <sheetView showGridLines="0" zoomScale="85" zoomScaleNormal="85" zoomScaleSheetLayoutView="85" zoomScalePageLayoutView="55" workbookViewId="0">
      <pane xSplit="5" ySplit="7" topLeftCell="F8" activePane="bottomRight" state="frozen"/>
      <selection activeCell="C1" sqref="C1"/>
      <selection pane="topRight" activeCell="F1" sqref="F1"/>
      <selection pane="bottomLeft" activeCell="C8" sqref="C8"/>
      <selection pane="bottomRight" activeCell="F8" sqref="F8"/>
    </sheetView>
  </sheetViews>
  <sheetFormatPr defaultColWidth="9.33203125" defaultRowHeight="12.75" x14ac:dyDescent="0.2"/>
  <cols>
    <col min="1" max="1" width="2.33203125" style="198" hidden="1" customWidth="1"/>
    <col min="2" max="2" width="10.33203125" style="199" hidden="1" customWidth="1"/>
    <col min="3" max="3" width="8.33203125" style="211" customWidth="1"/>
    <col min="4" max="4" width="32" style="211" customWidth="1"/>
    <col min="5" max="6" width="8.6640625" style="211" customWidth="1"/>
    <col min="7" max="7" width="1.83203125" style="211" customWidth="1"/>
    <col min="8" max="8" width="7" style="239" customWidth="1"/>
    <col min="9" max="9" width="1.83203125" style="240" customWidth="1"/>
    <col min="10" max="10" width="7.1640625" style="240" customWidth="1"/>
    <col min="11" max="11" width="1.83203125" style="240" customWidth="1"/>
    <col min="12" max="12" width="7.1640625" style="240" customWidth="1"/>
    <col min="13" max="13" width="1.83203125" style="240" customWidth="1"/>
    <col min="14" max="14" width="7.1640625" style="240"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25" customWidth="1"/>
    <col min="42" max="42" width="7" style="225" customWidth="1"/>
    <col min="43" max="43" width="1.83203125" style="225" customWidth="1"/>
    <col min="44" max="44" width="7" style="225" customWidth="1"/>
    <col min="45" max="45" width="1.83203125" style="225" customWidth="1"/>
    <col min="46" max="46" width="7" style="239" customWidth="1"/>
    <col min="47" max="47" width="1.83203125" style="240" customWidth="1"/>
    <col min="48" max="48" width="7" style="225" customWidth="1"/>
    <col min="49" max="49" width="1.83203125" style="225" customWidth="1"/>
    <col min="50" max="50" width="7" style="239" customWidth="1"/>
    <col min="51" max="51" width="1.83203125" style="240" customWidth="1"/>
    <col min="52" max="52" width="7" style="239" customWidth="1"/>
    <col min="53" max="53" width="1.83203125" style="240" customWidth="1"/>
    <col min="54" max="54" width="1.83203125" style="211" customWidth="1"/>
    <col min="55" max="55" width="4.5" style="211" customWidth="1"/>
    <col min="56" max="56" width="6.6640625" style="209" customWidth="1"/>
    <col min="57" max="57" width="29.5" style="209" customWidth="1"/>
    <col min="58" max="58" width="7.1640625" style="209" customWidth="1"/>
    <col min="59" max="59" width="7.33203125" style="209" customWidth="1"/>
    <col min="60" max="60" width="1.83203125" style="209" customWidth="1"/>
    <col min="61" max="61" width="7.33203125" style="209" customWidth="1"/>
    <col min="62" max="62" width="1.83203125" style="209" customWidth="1"/>
    <col min="63" max="63" width="7.33203125" style="209" customWidth="1"/>
    <col min="64" max="64" width="1.83203125" style="209" customWidth="1"/>
    <col min="65" max="65" width="7.33203125" style="209" customWidth="1"/>
    <col min="66" max="66" width="1.83203125" style="209" customWidth="1"/>
    <col min="67" max="67" width="7.33203125" style="209" customWidth="1"/>
    <col min="68" max="68" width="1.83203125" style="209" customWidth="1"/>
    <col min="69" max="69" width="7.33203125" style="209" customWidth="1"/>
    <col min="70" max="70" width="1.83203125" style="209" customWidth="1"/>
    <col min="71" max="71" width="7.33203125" style="209" customWidth="1"/>
    <col min="72" max="72" width="1.83203125" style="209" customWidth="1"/>
    <col min="73" max="73" width="7.33203125" style="209" customWidth="1"/>
    <col min="74" max="74" width="1.83203125" style="209" customWidth="1"/>
    <col min="75" max="75" width="7.33203125" style="209" customWidth="1"/>
    <col min="76" max="76" width="1.83203125" style="209" customWidth="1"/>
    <col min="77" max="77" width="7.33203125" style="209" customWidth="1"/>
    <col min="78" max="78" width="1.83203125" style="209" customWidth="1"/>
    <col min="79" max="79" width="7.33203125" style="209" customWidth="1"/>
    <col min="80" max="80" width="1.83203125" style="209" customWidth="1"/>
    <col min="81" max="81" width="7.33203125" style="209" customWidth="1"/>
    <col min="82" max="82" width="1.83203125" style="209" customWidth="1"/>
    <col min="83" max="83" width="7.33203125" style="209" customWidth="1"/>
    <col min="84" max="84" width="1.83203125" style="209" customWidth="1"/>
    <col min="85" max="85" width="7.33203125" style="209" customWidth="1"/>
    <col min="86" max="86" width="1.83203125" style="209" customWidth="1"/>
    <col min="87" max="87" width="7.33203125" style="209" customWidth="1"/>
    <col min="88" max="88" width="1.83203125" style="209" customWidth="1"/>
    <col min="89" max="89" width="7.33203125" style="209" customWidth="1"/>
    <col min="90" max="90" width="1.83203125" style="209" customWidth="1"/>
    <col min="91" max="91" width="7.33203125" style="209" customWidth="1"/>
    <col min="92" max="92" width="1.83203125" style="209" customWidth="1"/>
    <col min="93" max="93" width="7.33203125" style="209" customWidth="1"/>
    <col min="94" max="94" width="1.83203125" style="209" customWidth="1"/>
    <col min="95" max="95" width="7.33203125" style="209" customWidth="1"/>
    <col min="96" max="96" width="1.83203125" style="209" customWidth="1"/>
    <col min="97" max="97" width="7.33203125" style="209" customWidth="1"/>
    <col min="98" max="98" width="1.83203125" style="209" customWidth="1"/>
    <col min="99" max="99" width="7.33203125" style="209" customWidth="1"/>
    <col min="100" max="100" width="1.83203125" style="209" customWidth="1"/>
    <col min="101" max="101" width="7.33203125" style="209" customWidth="1"/>
    <col min="102" max="102" width="1.83203125" style="209" customWidth="1"/>
    <col min="103" max="103" width="7.33203125" style="209" customWidth="1"/>
    <col min="104" max="104" width="1.83203125" style="209" customWidth="1"/>
    <col min="105" max="105" width="7.33203125" style="209" customWidth="1"/>
    <col min="106" max="106" width="1.83203125" style="209" customWidth="1"/>
    <col min="107" max="16384" width="9.33203125" style="211"/>
  </cols>
  <sheetData>
    <row r="1" spans="1:120" s="452" customFormat="1" ht="15" customHeight="1" x14ac:dyDescent="0.25">
      <c r="A1" s="451"/>
      <c r="B1" s="199">
        <v>0</v>
      </c>
      <c r="C1" s="200" t="s">
        <v>395</v>
      </c>
      <c r="D1" s="200"/>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542"/>
      <c r="AP1" s="542"/>
      <c r="AQ1" s="542"/>
      <c r="AR1" s="542"/>
      <c r="AS1" s="542"/>
      <c r="AT1" s="353"/>
      <c r="AU1" s="354"/>
      <c r="AV1" s="542"/>
      <c r="AW1" s="542"/>
      <c r="AX1" s="353"/>
      <c r="AY1" s="354"/>
      <c r="AZ1" s="353"/>
      <c r="BA1" s="354"/>
      <c r="BB1" s="499"/>
      <c r="BC1" s="499"/>
      <c r="BD1" s="210" t="s">
        <v>465</v>
      </c>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row>
    <row r="2" spans="1:120" ht="7.5" customHeight="1" x14ac:dyDescent="0.2">
      <c r="E2" s="358"/>
      <c r="F2" s="358"/>
      <c r="G2" s="358"/>
      <c r="H2" s="362"/>
      <c r="AE2" s="367"/>
      <c r="AF2" s="362"/>
      <c r="AG2" s="367"/>
      <c r="AH2" s="362"/>
      <c r="AI2" s="367"/>
      <c r="AJ2" s="441"/>
      <c r="AK2" s="367"/>
      <c r="AL2" s="362"/>
      <c r="AM2" s="367"/>
      <c r="AN2" s="362"/>
      <c r="AT2" s="362"/>
      <c r="AX2" s="362"/>
      <c r="AZ2" s="362"/>
    </row>
    <row r="3" spans="1:120" s="379" customFormat="1" ht="17.25" customHeight="1" x14ac:dyDescent="0.25">
      <c r="A3" s="302"/>
      <c r="B3" s="302">
        <v>170</v>
      </c>
      <c r="C3" s="363" t="s">
        <v>61</v>
      </c>
      <c r="D3" s="28" t="s">
        <v>248</v>
      </c>
      <c r="E3" s="443"/>
      <c r="F3" s="444"/>
      <c r="G3" s="445"/>
      <c r="H3" s="446"/>
      <c r="I3" s="447"/>
      <c r="J3" s="447"/>
      <c r="K3" s="447"/>
      <c r="L3" s="447"/>
      <c r="M3" s="447"/>
      <c r="N3" s="447"/>
      <c r="O3" s="447"/>
      <c r="P3" s="446"/>
      <c r="Q3" s="447"/>
      <c r="R3" s="446"/>
      <c r="S3" s="447"/>
      <c r="T3" s="446"/>
      <c r="U3" s="447"/>
      <c r="V3" s="446"/>
      <c r="W3" s="445"/>
      <c r="X3" s="446"/>
      <c r="Y3" s="445"/>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450"/>
      <c r="BD3" s="370" t="s">
        <v>441</v>
      </c>
      <c r="BE3" s="454"/>
      <c r="BF3" s="377"/>
      <c r="BG3" s="455"/>
      <c r="BH3" s="377"/>
      <c r="BI3" s="500"/>
      <c r="BJ3" s="500"/>
      <c r="BK3" s="500"/>
      <c r="BL3" s="500"/>
      <c r="BM3" s="500"/>
      <c r="BN3" s="500"/>
      <c r="BO3" s="500"/>
      <c r="BP3" s="500"/>
      <c r="BQ3" s="500"/>
      <c r="BR3" s="500"/>
      <c r="BS3" s="456"/>
      <c r="BT3" s="456"/>
      <c r="BU3" s="456"/>
      <c r="BV3" s="456"/>
      <c r="BW3" s="456"/>
      <c r="BX3" s="456"/>
      <c r="BY3" s="457"/>
      <c r="BZ3" s="377"/>
      <c r="CA3" s="377"/>
      <c r="CB3" s="377"/>
      <c r="CC3" s="377"/>
      <c r="CD3" s="377"/>
      <c r="CE3" s="377"/>
      <c r="CF3" s="457"/>
      <c r="CG3" s="457"/>
      <c r="CH3" s="457"/>
      <c r="CI3" s="377"/>
      <c r="CJ3" s="377"/>
      <c r="CK3" s="377"/>
      <c r="CL3" s="377"/>
      <c r="CM3" s="377"/>
      <c r="CN3" s="377"/>
      <c r="CO3" s="377"/>
      <c r="CP3" s="377"/>
      <c r="CQ3" s="377"/>
      <c r="CR3" s="377"/>
      <c r="CS3" s="377"/>
      <c r="CT3" s="377"/>
      <c r="CU3" s="377"/>
      <c r="CV3" s="377"/>
      <c r="CW3" s="377"/>
      <c r="CX3" s="377"/>
      <c r="CY3" s="377"/>
      <c r="CZ3" s="377"/>
      <c r="DA3" s="377"/>
      <c r="DB3" s="377"/>
      <c r="DC3" s="458"/>
      <c r="DD3" s="458"/>
    </row>
    <row r="4" spans="1:120" ht="3.75" customHeight="1" x14ac:dyDescent="0.25">
      <c r="C4" s="501"/>
      <c r="D4" s="501"/>
      <c r="E4" s="417"/>
      <c r="F4" s="417"/>
      <c r="G4" s="417"/>
      <c r="H4" s="362"/>
      <c r="I4" s="367"/>
      <c r="J4" s="367"/>
      <c r="K4" s="367"/>
      <c r="L4" s="367"/>
      <c r="M4" s="367"/>
      <c r="N4" s="367"/>
      <c r="O4" s="367"/>
      <c r="P4" s="441"/>
      <c r="Q4" s="367"/>
      <c r="R4" s="441"/>
      <c r="S4" s="367"/>
      <c r="T4" s="441"/>
      <c r="U4" s="367"/>
      <c r="V4" s="441"/>
      <c r="W4" s="367"/>
      <c r="X4" s="362"/>
      <c r="Y4" s="367"/>
      <c r="Z4" s="362"/>
      <c r="AA4" s="367"/>
      <c r="AB4" s="362"/>
      <c r="AC4" s="367"/>
      <c r="AD4" s="362"/>
      <c r="AE4" s="367"/>
      <c r="AF4" s="362"/>
      <c r="AG4" s="367"/>
      <c r="AH4" s="362"/>
      <c r="AI4" s="367"/>
      <c r="AJ4" s="441"/>
      <c r="AK4" s="367"/>
      <c r="AL4" s="362"/>
      <c r="AM4" s="367"/>
      <c r="AN4" s="502"/>
      <c r="AT4" s="362"/>
      <c r="AX4" s="362"/>
      <c r="AZ4" s="362"/>
      <c r="BD4" s="342"/>
    </row>
    <row r="5" spans="1:120" s="452" customFormat="1" ht="17.25" customHeight="1" x14ac:dyDescent="0.25">
      <c r="A5" s="451"/>
      <c r="B5" s="199">
        <v>9</v>
      </c>
      <c r="C5" s="768" t="s">
        <v>18</v>
      </c>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330"/>
      <c r="AP5" s="330"/>
      <c r="AQ5" s="330"/>
      <c r="AR5" s="330"/>
      <c r="AS5" s="330"/>
      <c r="AT5" s="382"/>
      <c r="AU5" s="381"/>
      <c r="AV5" s="330"/>
      <c r="AW5" s="330"/>
      <c r="AX5" s="382"/>
      <c r="AY5" s="381"/>
      <c r="AZ5" s="382"/>
      <c r="BA5" s="381"/>
      <c r="BB5" s="459"/>
      <c r="BC5" s="459"/>
      <c r="BD5" s="383" t="s">
        <v>442</v>
      </c>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row>
    <row r="6" spans="1:120" s="461" customFormat="1" ht="26.25" customHeight="1" x14ac:dyDescent="0.2">
      <c r="A6" s="460"/>
      <c r="B6" s="199"/>
      <c r="C6" s="452"/>
      <c r="D6" s="452"/>
      <c r="F6" s="682" t="s">
        <v>408</v>
      </c>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384"/>
      <c r="AK6" s="385"/>
      <c r="AL6" s="384"/>
      <c r="AM6" s="239"/>
      <c r="AN6" s="384"/>
      <c r="AO6" s="386"/>
      <c r="AP6" s="386"/>
      <c r="AQ6" s="386"/>
      <c r="AR6" s="386"/>
      <c r="AS6" s="386"/>
      <c r="AT6" s="343"/>
      <c r="AV6" s="386"/>
      <c r="AW6" s="386"/>
      <c r="AX6" s="343"/>
      <c r="AZ6" s="343"/>
      <c r="BA6" s="387"/>
      <c r="BB6" s="343"/>
      <c r="BD6" s="388" t="s">
        <v>437</v>
      </c>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row>
    <row r="7" spans="1:120" ht="22.5" customHeight="1" x14ac:dyDescent="0.2">
      <c r="B7" s="199">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D7" s="252" t="s">
        <v>201</v>
      </c>
      <c r="BE7" s="252" t="s">
        <v>202</v>
      </c>
      <c r="BF7" s="252" t="s">
        <v>203</v>
      </c>
      <c r="BG7" s="600">
        <v>1990</v>
      </c>
      <c r="BH7" s="601"/>
      <c r="BI7" s="600">
        <v>1995</v>
      </c>
      <c r="BJ7" s="601"/>
      <c r="BK7" s="600">
        <v>1996</v>
      </c>
      <c r="BL7" s="601"/>
      <c r="BM7" s="600">
        <v>1997</v>
      </c>
      <c r="BN7" s="601"/>
      <c r="BO7" s="600">
        <v>1998</v>
      </c>
      <c r="BP7" s="601"/>
      <c r="BQ7" s="600">
        <v>1999</v>
      </c>
      <c r="BR7" s="601"/>
      <c r="BS7" s="600">
        <v>2000</v>
      </c>
      <c r="BT7" s="601"/>
      <c r="BU7" s="600">
        <v>2001</v>
      </c>
      <c r="BV7" s="601"/>
      <c r="BW7" s="600">
        <v>2002</v>
      </c>
      <c r="BX7" s="601"/>
      <c r="BY7" s="600">
        <v>2003</v>
      </c>
      <c r="BZ7" s="601"/>
      <c r="CA7" s="600">
        <v>2004</v>
      </c>
      <c r="CB7" s="601"/>
      <c r="CC7" s="600">
        <v>2005</v>
      </c>
      <c r="CD7" s="601"/>
      <c r="CE7" s="600">
        <v>2006</v>
      </c>
      <c r="CF7" s="601"/>
      <c r="CG7" s="600">
        <v>2007</v>
      </c>
      <c r="CH7" s="601"/>
      <c r="CI7" s="600">
        <v>2008</v>
      </c>
      <c r="CJ7" s="601"/>
      <c r="CK7" s="600">
        <v>2009</v>
      </c>
      <c r="CL7" s="601"/>
      <c r="CM7" s="600">
        <v>2010</v>
      </c>
      <c r="CN7" s="601"/>
      <c r="CO7" s="600">
        <v>2011</v>
      </c>
      <c r="CP7" s="604"/>
      <c r="CQ7" s="600">
        <v>2012</v>
      </c>
      <c r="CR7" s="601"/>
      <c r="CS7" s="600">
        <v>2013</v>
      </c>
      <c r="CT7" s="601"/>
      <c r="CU7" s="600">
        <v>2014</v>
      </c>
      <c r="CV7" s="604"/>
      <c r="CW7" s="600">
        <v>2015</v>
      </c>
      <c r="CX7" s="601"/>
      <c r="CY7" s="600">
        <v>2016</v>
      </c>
      <c r="CZ7" s="604"/>
      <c r="DA7" s="600">
        <v>2017</v>
      </c>
      <c r="DB7" s="601"/>
    </row>
    <row r="8" spans="1:120" s="477" customFormat="1" ht="36" customHeight="1" x14ac:dyDescent="0.2">
      <c r="A8" s="411" t="s">
        <v>457</v>
      </c>
      <c r="B8" s="257">
        <v>163</v>
      </c>
      <c r="C8" s="467">
        <v>1</v>
      </c>
      <c r="D8" s="399" t="s">
        <v>411</v>
      </c>
      <c r="E8" s="260" t="s">
        <v>194</v>
      </c>
      <c r="F8" s="589"/>
      <c r="G8" s="597"/>
      <c r="H8" s="589"/>
      <c r="I8" s="597"/>
      <c r="J8" s="589"/>
      <c r="K8" s="597"/>
      <c r="L8" s="589"/>
      <c r="M8" s="597"/>
      <c r="N8" s="589"/>
      <c r="O8" s="597"/>
      <c r="P8" s="589"/>
      <c r="Q8" s="597"/>
      <c r="R8" s="589"/>
      <c r="S8" s="597"/>
      <c r="T8" s="589"/>
      <c r="U8" s="597"/>
      <c r="V8" s="589"/>
      <c r="W8" s="597"/>
      <c r="X8" s="589">
        <v>69.970001220703125</v>
      </c>
      <c r="Y8" s="597" t="s">
        <v>21</v>
      </c>
      <c r="Z8" s="589">
        <v>87.699996948242188</v>
      </c>
      <c r="AA8" s="597" t="s">
        <v>21</v>
      </c>
      <c r="AB8" s="589">
        <v>88.900001525878906</v>
      </c>
      <c r="AC8" s="597" t="s">
        <v>21</v>
      </c>
      <c r="AD8" s="589"/>
      <c r="AE8" s="597"/>
      <c r="AF8" s="589">
        <v>85.199996948242188</v>
      </c>
      <c r="AG8" s="597" t="s">
        <v>21</v>
      </c>
      <c r="AH8" s="589">
        <v>86.099998474121094</v>
      </c>
      <c r="AI8" s="597" t="s">
        <v>21</v>
      </c>
      <c r="AJ8" s="589">
        <v>83.900001525878906</v>
      </c>
      <c r="AK8" s="597" t="s">
        <v>21</v>
      </c>
      <c r="AL8" s="589">
        <v>84.300003051757813</v>
      </c>
      <c r="AM8" s="597" t="s">
        <v>21</v>
      </c>
      <c r="AN8" s="589"/>
      <c r="AO8" s="597"/>
      <c r="AP8" s="589">
        <v>85.800003051757813</v>
      </c>
      <c r="AQ8" s="597" t="s">
        <v>21</v>
      </c>
      <c r="AR8" s="589">
        <v>86.199996948242188</v>
      </c>
      <c r="AS8" s="597" t="s">
        <v>21</v>
      </c>
      <c r="AT8" s="589">
        <v>86.5</v>
      </c>
      <c r="AU8" s="597" t="s">
        <v>21</v>
      </c>
      <c r="AV8" s="699">
        <v>87.472780902823615</v>
      </c>
      <c r="AW8" s="597" t="s">
        <v>21</v>
      </c>
      <c r="AX8" s="699">
        <v>88.270994036519326</v>
      </c>
      <c r="AY8" s="597" t="s">
        <v>21</v>
      </c>
      <c r="AZ8" s="589">
        <v>88.03468409393443</v>
      </c>
      <c r="BA8" s="597" t="s">
        <v>21</v>
      </c>
      <c r="BD8" s="420">
        <v>1</v>
      </c>
      <c r="BE8" s="543" t="s">
        <v>384</v>
      </c>
      <c r="BF8" s="98" t="s">
        <v>194</v>
      </c>
      <c r="BG8" s="98" t="s">
        <v>466</v>
      </c>
      <c r="BH8" s="266"/>
      <c r="BI8" s="79" t="str">
        <f>IF(OR(ISBLANK(F8),ISBLANK(H8)),"N/A",IF(ABS(H8-F8)&gt;100,"&gt; 100%","ok"))</f>
        <v>N/A</v>
      </c>
      <c r="BJ8" s="266"/>
      <c r="BK8" s="79" t="str">
        <f>IF(OR(ISBLANK(H8),ISBLANK(J8)),"N/A",IF(ABS(J8-H8)&gt;25,"&gt; 25%","ok"))</f>
        <v>N/A</v>
      </c>
      <c r="BL8" s="79"/>
      <c r="BM8" s="79" t="str">
        <f>IF(OR(ISBLANK(J8),ISBLANK(L8)),"N/A",IF(ABS(L8-J8)&gt;25,"&gt; 25%","ok"))</f>
        <v>N/A</v>
      </c>
      <c r="BN8" s="79"/>
      <c r="BO8" s="79" t="str">
        <f>IF(OR(ISBLANK(L8),ISBLANK(N8)),"N/A",IF(ABS(N8-L8)&gt;25,"&gt; 25%","ok"))</f>
        <v>N/A</v>
      </c>
      <c r="BP8" s="79"/>
      <c r="BQ8" s="79" t="str">
        <f>IF(OR(ISBLANK(N8),ISBLANK(P8)),"N/A",IF(ABS(P8-N8)&gt;25,"&gt; 25%","ok"))</f>
        <v>N/A</v>
      </c>
      <c r="BR8" s="79"/>
      <c r="BS8" s="79" t="str">
        <f>IF(OR(ISBLANK(P8),ISBLANK(R8)),"N/A",IF(ABS(R8-P8)&gt;25,"&gt; 25%","ok"))</f>
        <v>N/A</v>
      </c>
      <c r="BT8" s="79"/>
      <c r="BU8" s="79" t="str">
        <f>IF(OR(ISBLANK(R8),ISBLANK(T8)),"N/A",IF(ABS(T8-R8)&gt;25,"&gt; 25%","ok"))</f>
        <v>N/A</v>
      </c>
      <c r="BV8" s="79"/>
      <c r="BW8" s="79" t="str">
        <f>IF(OR(ISBLANK(T8),ISBLANK(V8)),"N/A",IF(ABS(V8-T8)&gt;25,"&gt; 25%","ok"))</f>
        <v>N/A</v>
      </c>
      <c r="BX8" s="79"/>
      <c r="BY8" s="79" t="str">
        <f>IF(OR(ISBLANK(V8),ISBLANK(X8)),"N/A",IF(ABS(X8-V8)&gt;25,"&gt; 25%","ok"))</f>
        <v>N/A</v>
      </c>
      <c r="BZ8" s="79"/>
      <c r="CA8" s="79" t="str">
        <f>IF(OR(ISBLANK(X8),ISBLANK(Z8)),"N/A",IF(ABS(Z8-X8)&gt;25,"&gt; 25%","ok"))</f>
        <v>ok</v>
      </c>
      <c r="CB8" s="79"/>
      <c r="CC8" s="79" t="str">
        <f>IF(OR(ISBLANK(Z8),ISBLANK(AB8)),"N/A",IF(ABS(AB8-Z8)&gt;25,"&gt; 25%","ok"))</f>
        <v>ok</v>
      </c>
      <c r="CD8" s="79"/>
      <c r="CE8" s="79" t="str">
        <f>IF(OR(ISBLANK(AB8),ISBLANK(AD8)),"N/A",IF(ABS(AD8-AB8)&gt;25,"&gt; 25%","ok"))</f>
        <v>N/A</v>
      </c>
      <c r="CF8" s="79"/>
      <c r="CG8" s="79" t="str">
        <f>IF(OR(ISBLANK(AD8),ISBLANK(AF8)),"N/A",IF(ABS(AF8-AD8)&gt;25,"&gt; 25%","ok"))</f>
        <v>N/A</v>
      </c>
      <c r="CH8" s="79"/>
      <c r="CI8" s="79" t="str">
        <f>IF(OR(ISBLANK(AF8),ISBLANK(AH8)),"N/A",IF(ABS(AH8-AF8)&gt;25,"&gt; 25%","ok"))</f>
        <v>ok</v>
      </c>
      <c r="CJ8" s="79"/>
      <c r="CK8" s="79" t="str">
        <f>IF(OR(ISBLANK(AH8),ISBLANK(AJ8)),"N/A",IF(ABS(AJ8-AH8)&gt;25,"&gt; 25%","ok"))</f>
        <v>ok</v>
      </c>
      <c r="CL8" s="79"/>
      <c r="CM8" s="79" t="str">
        <f>IF(OR(ISBLANK(AJ8),ISBLANK(AL8)),"N/A",IF(ABS(AL8-AJ8)&gt;25,"&gt; 25%","ok"))</f>
        <v>ok</v>
      </c>
      <c r="CN8" s="79"/>
      <c r="CO8" s="79" t="str">
        <f>IF(OR(ISBLANK(AL8),ISBLANK(AN8)),"N/A",IF(ABS(AN8-AL8)&gt;25,"&gt; 25%","ok"))</f>
        <v>N/A</v>
      </c>
      <c r="CP8" s="79"/>
      <c r="CQ8" s="79" t="str">
        <f>IF(OR(ISBLANK(AN8),ISBLANK(AP8)),"N/A",IF(ABS(AP8-AN8)&gt;25,"&gt; 25%","ok"))</f>
        <v>N/A</v>
      </c>
      <c r="CR8" s="79"/>
      <c r="CS8" s="79" t="str">
        <f>IF(OR(ISBLANK(AP8),ISBLANK(AR8)),"N/A",IF(ABS(AR8-AP8)&gt;25,"&gt; 25%","ok"))</f>
        <v>ok</v>
      </c>
      <c r="CT8" s="79"/>
      <c r="CU8" s="79" t="str">
        <f>IF(OR(ISBLANK(AR8),ISBLANK(AT8)),"N/A",IF(ABS(AT8-AR8)&gt;25,"&gt; 25%","ok"))</f>
        <v>ok</v>
      </c>
      <c r="CV8" s="79"/>
      <c r="CW8" s="79" t="str">
        <f>IF(OR(ISBLANK(AT8),ISBLANK(AV8)),"N/A",IF(ABS(AV8-AT8)&gt;25,"&gt; 25%","ok"))</f>
        <v>ok</v>
      </c>
      <c r="CX8" s="79"/>
      <c r="CY8" s="79" t="str">
        <f>IF(OR(ISBLANK(AV8),ISBLANK(AX8)),"N/A",IF(ABS(AX8-AV8)&gt;25,"&gt; 25%","ok"))</f>
        <v>ok</v>
      </c>
      <c r="CZ8" s="79"/>
      <c r="DA8" s="79" t="str">
        <f>IF(OR(ISBLANK(AX8),ISBLANK(AZ8)),"N/A",IF(ABS(AZ8-AX8)&gt;25,"&gt; 25%","ok"))</f>
        <v>ok</v>
      </c>
      <c r="DB8" s="266"/>
    </row>
    <row r="9" spans="1:120" ht="36" customHeight="1" x14ac:dyDescent="0.2">
      <c r="A9" s="198" t="s">
        <v>457</v>
      </c>
      <c r="B9" s="257">
        <v>164</v>
      </c>
      <c r="C9" s="398">
        <v>2</v>
      </c>
      <c r="D9" s="276" t="s">
        <v>162</v>
      </c>
      <c r="E9" s="260" t="s">
        <v>194</v>
      </c>
      <c r="F9" s="589"/>
      <c r="G9" s="597"/>
      <c r="H9" s="589"/>
      <c r="I9" s="597"/>
      <c r="J9" s="589"/>
      <c r="K9" s="597"/>
      <c r="L9" s="589"/>
      <c r="M9" s="597"/>
      <c r="N9" s="589"/>
      <c r="O9" s="597"/>
      <c r="P9" s="589"/>
      <c r="Q9" s="597"/>
      <c r="R9" s="589"/>
      <c r="S9" s="597"/>
      <c r="T9" s="589"/>
      <c r="U9" s="597"/>
      <c r="V9" s="589"/>
      <c r="W9" s="597"/>
      <c r="X9" s="589">
        <v>69.970001220703125</v>
      </c>
      <c r="Y9" s="597" t="s">
        <v>21</v>
      </c>
      <c r="Z9" s="589">
        <v>71.339996337890625</v>
      </c>
      <c r="AA9" s="597" t="s">
        <v>21</v>
      </c>
      <c r="AB9" s="589">
        <v>72.709999084472656</v>
      </c>
      <c r="AC9" s="597" t="s">
        <v>21</v>
      </c>
      <c r="AD9" s="589"/>
      <c r="AE9" s="597"/>
      <c r="AF9" s="589">
        <v>90.800003051757813</v>
      </c>
      <c r="AG9" s="597" t="s">
        <v>21</v>
      </c>
      <c r="AH9" s="589">
        <v>91.5</v>
      </c>
      <c r="AI9" s="597" t="s">
        <v>21</v>
      </c>
      <c r="AJ9" s="589">
        <v>89.699996948242188</v>
      </c>
      <c r="AK9" s="597" t="s">
        <v>21</v>
      </c>
      <c r="AL9" s="589">
        <v>89.800003051757813</v>
      </c>
      <c r="AM9" s="597" t="s">
        <v>21</v>
      </c>
      <c r="AN9" s="589"/>
      <c r="AO9" s="597"/>
      <c r="AP9" s="589">
        <v>91.199996948242188</v>
      </c>
      <c r="AQ9" s="597" t="s">
        <v>21</v>
      </c>
      <c r="AR9" s="589">
        <v>91.199996948242188</v>
      </c>
      <c r="AS9" s="597" t="s">
        <v>21</v>
      </c>
      <c r="AT9" s="589">
        <v>91.300003051757813</v>
      </c>
      <c r="AU9" s="597" t="s">
        <v>21</v>
      </c>
      <c r="AV9" s="699">
        <v>91.817654842972672</v>
      </c>
      <c r="AW9" s="597" t="s">
        <v>21</v>
      </c>
      <c r="AX9" s="699">
        <v>92.289011367833865</v>
      </c>
      <c r="AY9" s="597" t="s">
        <v>21</v>
      </c>
      <c r="AZ9" s="699">
        <v>92.447121011991555</v>
      </c>
      <c r="BA9" s="597" t="s">
        <v>21</v>
      </c>
      <c r="BD9" s="402">
        <v>2</v>
      </c>
      <c r="BE9" s="544" t="s">
        <v>385</v>
      </c>
      <c r="BF9" s="98" t="s">
        <v>194</v>
      </c>
      <c r="BG9" s="98" t="s">
        <v>466</v>
      </c>
      <c r="BH9" s="266"/>
      <c r="BI9" s="79" t="str">
        <f>IF(OR(ISBLANK(F9),ISBLANK(H9)),"N/A",IF(ABS(H9-F9)&gt;100,"&gt; 100%","ok"))</f>
        <v>N/A</v>
      </c>
      <c r="BJ9" s="266"/>
      <c r="BK9" s="79" t="str">
        <f>IF(OR(ISBLANK(H9),ISBLANK(J9)),"N/A",IF(ABS(J9-H9)&gt;25,"&gt; 25%","ok"))</f>
        <v>N/A</v>
      </c>
      <c r="BL9" s="79"/>
      <c r="BM9" s="79" t="str">
        <f>IF(OR(ISBLANK(J9),ISBLANK(L9)),"N/A",IF(ABS(L9-J9)&gt;25,"&gt; 25%","ok"))</f>
        <v>N/A</v>
      </c>
      <c r="BN9" s="79"/>
      <c r="BO9" s="79" t="str">
        <f>IF(OR(ISBLANK(L9),ISBLANK(N9)),"N/A",IF(ABS(N9-L9)&gt;25,"&gt; 25%","ok"))</f>
        <v>N/A</v>
      </c>
      <c r="BP9" s="79"/>
      <c r="BQ9" s="79" t="str">
        <f>IF(OR(ISBLANK(N9),ISBLANK(P9)),"N/A",IF(ABS(P9-N9)&gt;25,"&gt; 25%","ok"))</f>
        <v>N/A</v>
      </c>
      <c r="BR9" s="79"/>
      <c r="BS9" s="79" t="str">
        <f>IF(OR(ISBLANK(P9),ISBLANK(R9)),"N/A",IF(ABS(R9-P9)&gt;25,"&gt; 25%","ok"))</f>
        <v>N/A</v>
      </c>
      <c r="BT9" s="79"/>
      <c r="BU9" s="79" t="str">
        <f>IF(OR(ISBLANK(R9),ISBLANK(T9)),"N/A",IF(ABS(T9-R9)&gt;25,"&gt; 25%","ok"))</f>
        <v>N/A</v>
      </c>
      <c r="BV9" s="79"/>
      <c r="BW9" s="79" t="str">
        <f>IF(OR(ISBLANK(T9),ISBLANK(V9)),"N/A",IF(ABS(V9-T9)&gt;25,"&gt; 25%","ok"))</f>
        <v>N/A</v>
      </c>
      <c r="BX9" s="79"/>
      <c r="BY9" s="79" t="str">
        <f>IF(OR(ISBLANK(V9),ISBLANK(X9)),"N/A",IF(ABS(X9-V9)&gt;25,"&gt; 25%","ok"))</f>
        <v>N/A</v>
      </c>
      <c r="BZ9" s="79"/>
      <c r="CA9" s="79" t="str">
        <f>IF(OR(ISBLANK(X9),ISBLANK(Z9)),"N/A",IF(ABS(Z9-X9)&gt;25,"&gt; 25%","ok"))</f>
        <v>ok</v>
      </c>
      <c r="CB9" s="79"/>
      <c r="CC9" s="79" t="str">
        <f>IF(OR(ISBLANK(Z9),ISBLANK(AB9)),"N/A",IF(ABS(AB9-Z9)&gt;25,"&gt; 25%","ok"))</f>
        <v>ok</v>
      </c>
      <c r="CD9" s="79"/>
      <c r="CE9" s="79" t="str">
        <f>IF(OR(ISBLANK(AB9),ISBLANK(AD9)),"N/A",IF(ABS(AD9-AB9)&gt;25,"&gt; 25%","ok"))</f>
        <v>N/A</v>
      </c>
      <c r="CF9" s="79"/>
      <c r="CG9" s="79" t="str">
        <f>IF(OR(ISBLANK(AD9),ISBLANK(AF9)),"N/A",IF(ABS(AF9-AD9)&gt;25,"&gt; 25%","ok"))</f>
        <v>N/A</v>
      </c>
      <c r="CH9" s="79"/>
      <c r="CI9" s="79" t="str">
        <f>IF(OR(ISBLANK(AF9),ISBLANK(AH9)),"N/A",IF(ABS(AH9-AF9)&gt;25,"&gt; 25%","ok"))</f>
        <v>ok</v>
      </c>
      <c r="CJ9" s="79"/>
      <c r="CK9" s="79" t="str">
        <f>IF(OR(ISBLANK(AH9),ISBLANK(AJ9)),"N/A",IF(ABS(AJ9-AH9)&gt;25,"&gt; 25%","ok"))</f>
        <v>ok</v>
      </c>
      <c r="CL9" s="79"/>
      <c r="CM9" s="79" t="str">
        <f>IF(OR(ISBLANK(AJ9),ISBLANK(AL9)),"N/A",IF(ABS(AL9-AJ9)&gt;25,"&gt; 25%","ok"))</f>
        <v>ok</v>
      </c>
      <c r="CN9" s="79"/>
      <c r="CO9" s="79" t="str">
        <f>IF(OR(ISBLANK(AL9),ISBLANK(AN9)),"N/A",IF(ABS(AN9-AL9)&gt;25,"&gt; 25%","ok"))</f>
        <v>N/A</v>
      </c>
      <c r="CP9" s="79"/>
      <c r="CQ9" s="79" t="str">
        <f>IF(OR(ISBLANK(AN9),ISBLANK(AP9)),"N/A",IF(ABS(AP9-AN9)&gt;25,"&gt; 25%","ok"))</f>
        <v>N/A</v>
      </c>
      <c r="CR9" s="79"/>
      <c r="CS9" s="79" t="str">
        <f>IF(OR(ISBLANK(AP9),ISBLANK(AR9)),"N/A",IF(ABS(AR9-AP9)&gt;25,"&gt; 25%","ok"))</f>
        <v>ok</v>
      </c>
      <c r="CT9" s="79"/>
      <c r="CU9" s="79" t="str">
        <f>IF(OR(ISBLANK(AR9),ISBLANK(AT9)),"N/A",IF(ABS(AT9-AR9)&gt;25,"&gt; 25%","ok"))</f>
        <v>ok</v>
      </c>
      <c r="CV9" s="79"/>
      <c r="CW9" s="79" t="str">
        <f>IF(OR(ISBLANK(AT9),ISBLANK(AV9)),"N/A",IF(ABS(AV9-AT9)&gt;25,"&gt; 25%","ok"))</f>
        <v>ok</v>
      </c>
      <c r="CX9" s="79"/>
      <c r="CY9" s="79" t="str">
        <f>IF(OR(ISBLANK(AV9),ISBLANK(AX9)),"N/A",IF(ABS(AX9-AV9)&gt;25,"&gt; 25%","ok"))</f>
        <v>ok</v>
      </c>
      <c r="CZ9" s="79"/>
      <c r="DA9" s="79" t="str">
        <f>IF(OR(ISBLANK(AX9),ISBLANK(AZ9)),"N/A",IF(ABS(AZ9-AX9)&gt;25,"&gt; 25%","ok"))</f>
        <v>ok</v>
      </c>
      <c r="DB9" s="266"/>
    </row>
    <row r="10" spans="1:120" ht="36" customHeight="1" x14ac:dyDescent="0.2">
      <c r="B10" s="257">
        <v>296</v>
      </c>
      <c r="C10" s="260">
        <v>3</v>
      </c>
      <c r="D10" s="545" t="s">
        <v>129</v>
      </c>
      <c r="E10" s="260" t="s">
        <v>194</v>
      </c>
      <c r="F10" s="590"/>
      <c r="G10" s="594"/>
      <c r="H10" s="590"/>
      <c r="I10" s="594"/>
      <c r="J10" s="590"/>
      <c r="K10" s="594"/>
      <c r="L10" s="590"/>
      <c r="M10" s="594"/>
      <c r="N10" s="590"/>
      <c r="O10" s="594"/>
      <c r="P10" s="590"/>
      <c r="Q10" s="594"/>
      <c r="R10" s="590"/>
      <c r="S10" s="594"/>
      <c r="T10" s="590"/>
      <c r="U10" s="594"/>
      <c r="V10" s="590"/>
      <c r="W10" s="594"/>
      <c r="X10" s="590"/>
      <c r="Y10" s="594"/>
      <c r="Z10" s="590"/>
      <c r="AA10" s="594"/>
      <c r="AB10" s="590"/>
      <c r="AC10" s="594"/>
      <c r="AD10" s="590"/>
      <c r="AE10" s="594"/>
      <c r="AF10" s="590"/>
      <c r="AG10" s="594"/>
      <c r="AH10" s="590"/>
      <c r="AI10" s="594"/>
      <c r="AJ10" s="590"/>
      <c r="AK10" s="594"/>
      <c r="AL10" s="590"/>
      <c r="AM10" s="594"/>
      <c r="AN10" s="590"/>
      <c r="AO10" s="594"/>
      <c r="AP10" s="590"/>
      <c r="AQ10" s="594"/>
      <c r="AR10" s="590"/>
      <c r="AS10" s="594"/>
      <c r="AT10" s="590"/>
      <c r="AU10" s="594"/>
      <c r="AV10" s="590"/>
      <c r="AW10" s="594"/>
      <c r="AX10" s="590"/>
      <c r="AY10" s="594"/>
      <c r="AZ10" s="590"/>
      <c r="BA10" s="594"/>
      <c r="BD10" s="98">
        <v>3</v>
      </c>
      <c r="BE10" s="546" t="s">
        <v>376</v>
      </c>
      <c r="BF10" s="98" t="s">
        <v>194</v>
      </c>
      <c r="BG10" s="81" t="s">
        <v>466</v>
      </c>
      <c r="BH10" s="270"/>
      <c r="BI10" s="79" t="str">
        <f>IF(OR(ISBLANK(F10),ISBLANK(H10)),"N/A",IF(ABS(H10-F10)&gt;100,"&gt; 100%","ok"))</f>
        <v>N/A</v>
      </c>
      <c r="BJ10" s="270"/>
      <c r="BK10" s="79" t="str">
        <f>IF(OR(ISBLANK(H10),ISBLANK(J10)),"N/A",IF(ABS(J10-H10)&gt;25,"&gt; 25%","ok"))</f>
        <v>N/A</v>
      </c>
      <c r="BL10" s="79"/>
      <c r="BM10" s="79" t="str">
        <f>IF(OR(ISBLANK(J10),ISBLANK(L10)),"N/A",IF(ABS(L10-J10)&gt;25,"&gt; 25%","ok"))</f>
        <v>N/A</v>
      </c>
      <c r="BN10" s="79"/>
      <c r="BO10" s="79" t="str">
        <f>IF(OR(ISBLANK(L10),ISBLANK(N10)),"N/A",IF(ABS(N10-L10)&gt;25,"&gt; 25%","ok"))</f>
        <v>N/A</v>
      </c>
      <c r="BP10" s="79"/>
      <c r="BQ10" s="79" t="str">
        <f>IF(OR(ISBLANK(N10),ISBLANK(P10)),"N/A",IF(ABS(P10-N10)&gt;25,"&gt; 25%","ok"))</f>
        <v>N/A</v>
      </c>
      <c r="BR10" s="79"/>
      <c r="BS10" s="79" t="str">
        <f>IF(OR(ISBLANK(P10),ISBLANK(R10)),"N/A",IF(ABS(R10-P10)&gt;25,"&gt; 25%","ok"))</f>
        <v>N/A</v>
      </c>
      <c r="BT10" s="79"/>
      <c r="BU10" s="79" t="str">
        <f>IF(OR(ISBLANK(R10),ISBLANK(T10)),"N/A",IF(ABS(T10-R10)&gt;25,"&gt; 25%","ok"))</f>
        <v>N/A</v>
      </c>
      <c r="BV10" s="79"/>
      <c r="BW10" s="79" t="str">
        <f>IF(OR(ISBLANK(T10),ISBLANK(V10)),"N/A",IF(ABS(V10-T10)&gt;25,"&gt; 25%","ok"))</f>
        <v>N/A</v>
      </c>
      <c r="BX10" s="79"/>
      <c r="BY10" s="79" t="str">
        <f>IF(OR(ISBLANK(V10),ISBLANK(X10)),"N/A",IF(ABS(X10-V10)&gt;25,"&gt; 25%","ok"))</f>
        <v>N/A</v>
      </c>
      <c r="BZ10" s="79"/>
      <c r="CA10" s="79" t="str">
        <f>IF(OR(ISBLANK(X10),ISBLANK(Z10)),"N/A",IF(ABS(Z10-X10)&gt;25,"&gt; 25%","ok"))</f>
        <v>N/A</v>
      </c>
      <c r="CB10" s="79"/>
      <c r="CC10" s="79" t="str">
        <f>IF(OR(ISBLANK(Z10),ISBLANK(AB10)),"N/A",IF(ABS(AB10-Z10)&gt;25,"&gt; 25%","ok"))</f>
        <v>N/A</v>
      </c>
      <c r="CD10" s="79"/>
      <c r="CE10" s="79" t="str">
        <f>IF(OR(ISBLANK(AB10),ISBLANK(AD10)),"N/A",IF(ABS(AD10-AB10)&gt;25,"&gt; 25%","ok"))</f>
        <v>N/A</v>
      </c>
      <c r="CF10" s="79"/>
      <c r="CG10" s="79" t="str">
        <f>IF(OR(ISBLANK(AD10),ISBLANK(AF10)),"N/A",IF(ABS(AF10-AD10)&gt;25,"&gt; 25%","ok"))</f>
        <v>N/A</v>
      </c>
      <c r="CH10" s="79"/>
      <c r="CI10" s="79" t="str">
        <f>IF(OR(ISBLANK(AF10),ISBLANK(AH10)),"N/A",IF(ABS(AH10-AF10)&gt;25,"&gt; 25%","ok"))</f>
        <v>N/A</v>
      </c>
      <c r="CJ10" s="79"/>
      <c r="CK10" s="79" t="str">
        <f>IF(OR(ISBLANK(AH10),ISBLANK(AJ10)),"N/A",IF(ABS(AJ10-AH10)&gt;25,"&gt; 25%","ok"))</f>
        <v>N/A</v>
      </c>
      <c r="CL10" s="79"/>
      <c r="CM10" s="79" t="str">
        <f>IF(OR(ISBLANK(AJ10),ISBLANK(AL10)),"N/A",IF(ABS(AL10-AJ10)&gt;25,"&gt; 25%","ok"))</f>
        <v>N/A</v>
      </c>
      <c r="CN10" s="79"/>
      <c r="CO10" s="79" t="str">
        <f>IF(OR(ISBLANK(AL10),ISBLANK(AN10)),"N/A",IF(ABS(AN10-AL10)&gt;25,"&gt; 25%","ok"))</f>
        <v>N/A</v>
      </c>
      <c r="CP10" s="79"/>
      <c r="CQ10" s="79" t="str">
        <f>IF(OR(ISBLANK(AN10),ISBLANK(AP10)),"N/A",IF(ABS(AP10-AN10)&gt;25,"&gt; 25%","ok"))</f>
        <v>N/A</v>
      </c>
      <c r="CR10" s="79"/>
      <c r="CS10" s="79" t="str">
        <f>IF(OR(ISBLANK(AP10),ISBLANK(AR10)),"N/A",IF(ABS(AR10-AP10)&gt;25,"&gt; 25%","ok"))</f>
        <v>N/A</v>
      </c>
      <c r="CT10" s="79"/>
      <c r="CU10" s="79" t="str">
        <f>IF(OR(ISBLANK(AR10),ISBLANK(AT10)),"N/A",IF(ABS(AT10-AR10)&gt;25,"&gt; 25%","ok"))</f>
        <v>N/A</v>
      </c>
      <c r="CV10" s="79"/>
      <c r="CW10" s="79" t="str">
        <f>IF(OR(ISBLANK(AT10),ISBLANK(AV10)),"N/A",IF(ABS(AV10-AT10)&gt;25,"&gt; 25%","ok"))</f>
        <v>N/A</v>
      </c>
      <c r="CX10" s="79"/>
      <c r="CY10" s="79" t="str">
        <f>IF(OR(ISBLANK(AV10),ISBLANK(AX10)),"N/A",IF(ABS(AX10-AV10)&gt;25,"&gt; 25%","ok"))</f>
        <v>N/A</v>
      </c>
      <c r="CZ10" s="79"/>
      <c r="DA10" s="79" t="str">
        <f>IF(OR(ISBLANK(AX10),ISBLANK(AZ10)),"N/A",IF(ABS(AZ10-AX10)&gt;25,"&gt; 25%","ok"))</f>
        <v>N/A</v>
      </c>
      <c r="DB10" s="270"/>
    </row>
    <row r="11" spans="1:120" ht="36" customHeight="1" x14ac:dyDescent="0.2">
      <c r="B11" s="257">
        <v>165</v>
      </c>
      <c r="C11" s="394">
        <v>4</v>
      </c>
      <c r="D11" s="274" t="s">
        <v>56</v>
      </c>
      <c r="E11" s="260" t="s">
        <v>194</v>
      </c>
      <c r="F11" s="590"/>
      <c r="G11" s="594"/>
      <c r="H11" s="590"/>
      <c r="I11" s="594"/>
      <c r="J11" s="590"/>
      <c r="K11" s="594"/>
      <c r="L11" s="590"/>
      <c r="M11" s="594"/>
      <c r="N11" s="590"/>
      <c r="O11" s="594"/>
      <c r="P11" s="590"/>
      <c r="Q11" s="594"/>
      <c r="R11" s="590"/>
      <c r="S11" s="594"/>
      <c r="T11" s="590"/>
      <c r="U11" s="594"/>
      <c r="V11" s="590"/>
      <c r="W11" s="594"/>
      <c r="X11" s="590">
        <v>16.040000915527344</v>
      </c>
      <c r="Y11" s="594" t="s">
        <v>681</v>
      </c>
      <c r="Z11" s="590">
        <v>16.389999389648438</v>
      </c>
      <c r="AA11" s="594" t="s">
        <v>681</v>
      </c>
      <c r="AB11" s="590">
        <v>16.229999542236328</v>
      </c>
      <c r="AC11" s="594" t="s">
        <v>681</v>
      </c>
      <c r="AD11" s="590"/>
      <c r="AE11" s="594"/>
      <c r="AF11" s="590">
        <v>67.900001525878906</v>
      </c>
      <c r="AG11" s="594" t="s">
        <v>681</v>
      </c>
      <c r="AH11" s="590">
        <v>69.199996948242188</v>
      </c>
      <c r="AI11" s="594" t="s">
        <v>681</v>
      </c>
      <c r="AJ11" s="590">
        <v>65.400001525878906</v>
      </c>
      <c r="AK11" s="594" t="s">
        <v>681</v>
      </c>
      <c r="AL11" s="590">
        <v>66.099998474121094</v>
      </c>
      <c r="AM11" s="594" t="s">
        <v>681</v>
      </c>
      <c r="AN11" s="590"/>
      <c r="AO11" s="594"/>
      <c r="AP11" s="590">
        <v>68.099998474121094</v>
      </c>
      <c r="AQ11" s="594" t="s">
        <v>681</v>
      </c>
      <c r="AR11" s="590">
        <v>69.900001525878906</v>
      </c>
      <c r="AS11" s="594" t="s">
        <v>681</v>
      </c>
      <c r="AT11" s="590">
        <v>70.599998474121094</v>
      </c>
      <c r="AU11" s="594" t="s">
        <v>681</v>
      </c>
      <c r="AV11" s="590"/>
      <c r="AW11" s="594"/>
      <c r="AX11" s="590"/>
      <c r="AY11" s="594"/>
      <c r="AZ11" s="590"/>
      <c r="BA11" s="594"/>
      <c r="BD11" s="81">
        <v>4</v>
      </c>
      <c r="BE11" s="285" t="s">
        <v>381</v>
      </c>
      <c r="BF11" s="98" t="s">
        <v>194</v>
      </c>
      <c r="BG11" s="81" t="s">
        <v>466</v>
      </c>
      <c r="BH11" s="270"/>
      <c r="BI11" s="79" t="str">
        <f>IF(OR(ISBLANK(F11),ISBLANK(H11)),"N/A",IF(ABS(H11-F11)&gt;100,"&gt; 100%","ok"))</f>
        <v>N/A</v>
      </c>
      <c r="BJ11" s="270"/>
      <c r="BK11" s="79" t="str">
        <f>IF(OR(ISBLANK(H11),ISBLANK(J11)),"N/A",IF(ABS(J11-H11)&gt;25,"&gt; 25%","ok"))</f>
        <v>N/A</v>
      </c>
      <c r="BL11" s="79"/>
      <c r="BM11" s="79" t="str">
        <f>IF(OR(ISBLANK(J11),ISBLANK(L11)),"N/A",IF(ABS(L11-J11)&gt;25,"&gt; 25%","ok"))</f>
        <v>N/A</v>
      </c>
      <c r="BN11" s="79"/>
      <c r="BO11" s="79" t="str">
        <f>IF(OR(ISBLANK(L11),ISBLANK(N11)),"N/A",IF(ABS(N11-L11)&gt;25,"&gt; 25%","ok"))</f>
        <v>N/A</v>
      </c>
      <c r="BP11" s="79"/>
      <c r="BQ11" s="79" t="str">
        <f>IF(OR(ISBLANK(N11),ISBLANK(P11)),"N/A",IF(ABS(P11-N11)&gt;25,"&gt; 25%","ok"))</f>
        <v>N/A</v>
      </c>
      <c r="BR11" s="79"/>
      <c r="BS11" s="79" t="str">
        <f>IF(OR(ISBLANK(P11),ISBLANK(R11)),"N/A",IF(ABS(R11-P11)&gt;25,"&gt; 25%","ok"))</f>
        <v>N/A</v>
      </c>
      <c r="BT11" s="79"/>
      <c r="BU11" s="79" t="str">
        <f>IF(OR(ISBLANK(R11),ISBLANK(T11)),"N/A",IF(ABS(T11-R11)&gt;25,"&gt; 25%","ok"))</f>
        <v>N/A</v>
      </c>
      <c r="BV11" s="79"/>
      <c r="BW11" s="79" t="str">
        <f>IF(OR(ISBLANK(T11),ISBLANK(V11)),"N/A",IF(ABS(V11-T11)&gt;25,"&gt; 25%","ok"))</f>
        <v>N/A</v>
      </c>
      <c r="BX11" s="79"/>
      <c r="BY11" s="79" t="str">
        <f>IF(OR(ISBLANK(V11),ISBLANK(X11)),"N/A",IF(ABS(X11-V11)&gt;25,"&gt; 25%","ok"))</f>
        <v>N/A</v>
      </c>
      <c r="BZ11" s="79"/>
      <c r="CA11" s="79" t="str">
        <f>IF(OR(ISBLANK(X11),ISBLANK(Z11)),"N/A",IF(ABS(Z11-X11)&gt;25,"&gt; 25%","ok"))</f>
        <v>ok</v>
      </c>
      <c r="CB11" s="79"/>
      <c r="CC11" s="79" t="str">
        <f>IF(OR(ISBLANK(Z11),ISBLANK(AB11)),"N/A",IF(ABS(AB11-Z11)&gt;25,"&gt; 25%","ok"))</f>
        <v>ok</v>
      </c>
      <c r="CD11" s="79"/>
      <c r="CE11" s="79" t="str">
        <f>IF(OR(ISBLANK(AB11),ISBLANK(AD11)),"N/A",IF(ABS(AD11-AB11)&gt;25,"&gt; 25%","ok"))</f>
        <v>N/A</v>
      </c>
      <c r="CF11" s="79"/>
      <c r="CG11" s="79" t="str">
        <f>IF(OR(ISBLANK(AD11),ISBLANK(AF11)),"N/A",IF(ABS(AF11-AD11)&gt;25,"&gt; 25%","ok"))</f>
        <v>N/A</v>
      </c>
      <c r="CH11" s="79"/>
      <c r="CI11" s="79" t="str">
        <f>IF(OR(ISBLANK(AF11),ISBLANK(AH11)),"N/A",IF(ABS(AH11-AF11)&gt;25,"&gt; 25%","ok"))</f>
        <v>ok</v>
      </c>
      <c r="CJ11" s="79"/>
      <c r="CK11" s="79" t="str">
        <f>IF(OR(ISBLANK(AH11),ISBLANK(AJ11)),"N/A",IF(ABS(AJ11-AH11)&gt;25,"&gt; 25%","ok"))</f>
        <v>ok</v>
      </c>
      <c r="CL11" s="79"/>
      <c r="CM11" s="79" t="str">
        <f>IF(OR(ISBLANK(AJ11),ISBLANK(AL11)),"N/A",IF(ABS(AL11-AJ11)&gt;25,"&gt; 25%","ok"))</f>
        <v>ok</v>
      </c>
      <c r="CN11" s="79"/>
      <c r="CO11" s="79" t="str">
        <f>IF(OR(ISBLANK(AL11),ISBLANK(AN11)),"N/A",IF(ABS(AN11-AL11)&gt;25,"&gt; 25%","ok"))</f>
        <v>N/A</v>
      </c>
      <c r="CP11" s="79"/>
      <c r="CQ11" s="79" t="str">
        <f>IF(OR(ISBLANK(AN11),ISBLANK(AP11)),"N/A",IF(ABS(AP11-AN11)&gt;25,"&gt; 25%","ok"))</f>
        <v>N/A</v>
      </c>
      <c r="CR11" s="79"/>
      <c r="CS11" s="79" t="str">
        <f>IF(OR(ISBLANK(AP11),ISBLANK(AR11)),"N/A",IF(ABS(AR11-AP11)&gt;25,"&gt; 25%","ok"))</f>
        <v>ok</v>
      </c>
      <c r="CT11" s="79"/>
      <c r="CU11" s="79" t="str">
        <f>IF(OR(ISBLANK(AR11),ISBLANK(AT11)),"N/A",IF(ABS(AT11-AR11)&gt;25,"&gt; 25%","ok"))</f>
        <v>ok</v>
      </c>
      <c r="CV11" s="79"/>
      <c r="CW11" s="79" t="str">
        <f>IF(OR(ISBLANK(AT11),ISBLANK(AV11)),"N/A",IF(ABS(AV11-AT11)&gt;25,"&gt; 25%","ok"))</f>
        <v>N/A</v>
      </c>
      <c r="CX11" s="79"/>
      <c r="CY11" s="79" t="str">
        <f>IF(OR(ISBLANK(AV11),ISBLANK(AX11)),"N/A",IF(ABS(AX11-AV11)&gt;25,"&gt; 25%","ok"))</f>
        <v>N/A</v>
      </c>
      <c r="CZ11" s="79"/>
      <c r="DA11" s="79" t="str">
        <f>IF(OR(ISBLANK(AX11),ISBLANK(AZ11)),"N/A",IF(ABS(AZ11-AX11)&gt;25,"&gt; 25%","ok"))</f>
        <v>N/A</v>
      </c>
      <c r="DB11" s="270"/>
    </row>
    <row r="12" spans="1:120" ht="36" customHeight="1" x14ac:dyDescent="0.2">
      <c r="B12" s="257">
        <v>298</v>
      </c>
      <c r="C12" s="287">
        <v>5</v>
      </c>
      <c r="D12" s="288" t="s">
        <v>68</v>
      </c>
      <c r="E12" s="287" t="s">
        <v>194</v>
      </c>
      <c r="F12" s="605"/>
      <c r="G12" s="606"/>
      <c r="H12" s="605"/>
      <c r="I12" s="606"/>
      <c r="J12" s="605"/>
      <c r="K12" s="606"/>
      <c r="L12" s="605"/>
      <c r="M12" s="606"/>
      <c r="N12" s="605"/>
      <c r="O12" s="606"/>
      <c r="P12" s="605"/>
      <c r="Q12" s="606"/>
      <c r="R12" s="605"/>
      <c r="S12" s="606"/>
      <c r="T12" s="605"/>
      <c r="U12" s="606"/>
      <c r="V12" s="605"/>
      <c r="W12" s="606"/>
      <c r="X12" s="605">
        <v>13.989999771118164</v>
      </c>
      <c r="Y12" s="606" t="s">
        <v>681</v>
      </c>
      <c r="Z12" s="605">
        <v>12.270000457763672</v>
      </c>
      <c r="AA12" s="606" t="s">
        <v>681</v>
      </c>
      <c r="AB12" s="605">
        <v>11.060000419616699</v>
      </c>
      <c r="AC12" s="606" t="s">
        <v>681</v>
      </c>
      <c r="AD12" s="605"/>
      <c r="AE12" s="606"/>
      <c r="AF12" s="605">
        <v>8.7700004577636719</v>
      </c>
      <c r="AG12" s="606" t="s">
        <v>681</v>
      </c>
      <c r="AH12" s="605">
        <v>6.9200000762939453</v>
      </c>
      <c r="AI12" s="606" t="s">
        <v>681</v>
      </c>
      <c r="AJ12" s="605">
        <v>7.3899998664855957</v>
      </c>
      <c r="AK12" s="606" t="s">
        <v>681</v>
      </c>
      <c r="AL12" s="605">
        <v>5.880000114440918</v>
      </c>
      <c r="AM12" s="606" t="s">
        <v>681</v>
      </c>
      <c r="AN12" s="605"/>
      <c r="AO12" s="606"/>
      <c r="AP12" s="605">
        <f>AP9-AP11</f>
        <v>23.099998474121094</v>
      </c>
      <c r="AQ12" s="606" t="s">
        <v>681</v>
      </c>
      <c r="AR12" s="605">
        <f>AR9-AR11</f>
        <v>21.299995422363281</v>
      </c>
      <c r="AS12" s="606" t="s">
        <v>681</v>
      </c>
      <c r="AT12" s="605">
        <f>AT9-AT11</f>
        <v>20.700004577636719</v>
      </c>
      <c r="AU12" s="606" t="s">
        <v>681</v>
      </c>
      <c r="AV12" s="605">
        <f>AV9-AV11</f>
        <v>91.817654842972672</v>
      </c>
      <c r="AW12" s="606" t="s">
        <v>681</v>
      </c>
      <c r="AX12" s="605">
        <f>AX9-AX11</f>
        <v>92.289011367833865</v>
      </c>
      <c r="AY12" s="606" t="s">
        <v>681</v>
      </c>
      <c r="AZ12" s="605">
        <f>AZ9-AZ11</f>
        <v>92.447121011991555</v>
      </c>
      <c r="BA12" s="606" t="s">
        <v>681</v>
      </c>
      <c r="BD12" s="96">
        <v>5</v>
      </c>
      <c r="BE12" s="478" t="s">
        <v>456</v>
      </c>
      <c r="BF12" s="96" t="s">
        <v>194</v>
      </c>
      <c r="BG12" s="96" t="s">
        <v>466</v>
      </c>
      <c r="BH12" s="291"/>
      <c r="BI12" s="79" t="str">
        <f>IF(OR(ISBLANK(F12),ISBLANK(H12)),"N/A",IF(ABS(H12-F12)&gt;100,"&gt; 100%","ok"))</f>
        <v>N/A</v>
      </c>
      <c r="BJ12" s="291"/>
      <c r="BK12" s="80" t="str">
        <f>IF(OR(ISBLANK(H12),ISBLANK(J12)),"N/A",IF(ABS(J12-H12)&gt;25,"&gt; 25%","ok"))</f>
        <v>N/A</v>
      </c>
      <c r="BL12" s="80"/>
      <c r="BM12" s="80" t="str">
        <f>IF(OR(ISBLANK(J12),ISBLANK(L12)),"N/A",IF(ABS(L12-J12)&gt;25,"&gt; 25%","ok"))</f>
        <v>N/A</v>
      </c>
      <c r="BN12" s="80"/>
      <c r="BO12" s="80" t="str">
        <f>IF(OR(ISBLANK(L12),ISBLANK(N12)),"N/A",IF(ABS(N12-L12)&gt;25,"&gt; 25%","ok"))</f>
        <v>N/A</v>
      </c>
      <c r="BP12" s="80"/>
      <c r="BQ12" s="80" t="str">
        <f>IF(OR(ISBLANK(N12),ISBLANK(P12)),"N/A",IF(ABS(P12-N12)&gt;25,"&gt; 25%","ok"))</f>
        <v>N/A</v>
      </c>
      <c r="BR12" s="80"/>
      <c r="BS12" s="80" t="str">
        <f>IF(OR(ISBLANK(P12),ISBLANK(R12)),"N/A",IF(ABS(R12-P12)&gt;25,"&gt; 25%","ok"))</f>
        <v>N/A</v>
      </c>
      <c r="BT12" s="80"/>
      <c r="BU12" s="80" t="str">
        <f>IF(OR(ISBLANK(R12),ISBLANK(T12)),"N/A",IF(ABS(T12-R12)&gt;25,"&gt; 25%","ok"))</f>
        <v>N/A</v>
      </c>
      <c r="BV12" s="80"/>
      <c r="BW12" s="80" t="str">
        <f>IF(OR(ISBLANK(T12),ISBLANK(V12)),"N/A",IF(ABS(V12-T12)&gt;25,"&gt; 25%","ok"))</f>
        <v>N/A</v>
      </c>
      <c r="BX12" s="80"/>
      <c r="BY12" s="80" t="str">
        <f>IF(OR(ISBLANK(V12),ISBLANK(X12)),"N/A",IF(ABS(X12-V12)&gt;25,"&gt; 25%","ok"))</f>
        <v>N/A</v>
      </c>
      <c r="BZ12" s="80"/>
      <c r="CA12" s="80" t="str">
        <f>IF(OR(ISBLANK(X12),ISBLANK(Z12)),"N/A",IF(ABS(Z12-X12)&gt;25,"&gt; 25%","ok"))</f>
        <v>ok</v>
      </c>
      <c r="CB12" s="80"/>
      <c r="CC12" s="80" t="str">
        <f>IF(OR(ISBLANK(Z12),ISBLANK(AB12)),"N/A",IF(ABS(AB12-Z12)&gt;25,"&gt; 25%","ok"))</f>
        <v>ok</v>
      </c>
      <c r="CD12" s="80"/>
      <c r="CE12" s="80" t="str">
        <f>IF(OR(ISBLANK(AB12),ISBLANK(AD12)),"N/A",IF(ABS(AD12-AB12)&gt;25,"&gt; 25%","ok"))</f>
        <v>N/A</v>
      </c>
      <c r="CF12" s="80"/>
      <c r="CG12" s="80" t="str">
        <f>IF(OR(ISBLANK(AD12),ISBLANK(AF12)),"N/A",IF(ABS(AF12-AD12)&gt;25,"&gt; 25%","ok"))</f>
        <v>N/A</v>
      </c>
      <c r="CH12" s="80"/>
      <c r="CI12" s="80" t="str">
        <f>IF(OR(ISBLANK(AF12),ISBLANK(AH12)),"N/A",IF(ABS(AH12-AF12)&gt;25,"&gt; 25%","ok"))</f>
        <v>ok</v>
      </c>
      <c r="CJ12" s="80"/>
      <c r="CK12" s="80" t="str">
        <f>IF(OR(ISBLANK(AH12),ISBLANK(AJ12)),"N/A",IF(ABS(AJ12-AH12)&gt;25,"&gt; 25%","ok"))</f>
        <v>ok</v>
      </c>
      <c r="CL12" s="80"/>
      <c r="CM12" s="80" t="str">
        <f>IF(OR(ISBLANK(AJ12),ISBLANK(AL12)),"N/A",IF(ABS(AL12-AJ12)&gt;25,"&gt; 25%","ok"))</f>
        <v>ok</v>
      </c>
      <c r="CN12" s="80"/>
      <c r="CO12" s="80" t="str">
        <f>IF(OR(ISBLANK(AL12),ISBLANK(AN12)),"N/A",IF(ABS(AN12-AL12)&gt;25,"&gt; 25%","ok"))</f>
        <v>N/A</v>
      </c>
      <c r="CP12" s="80"/>
      <c r="CQ12" s="80" t="str">
        <f>IF(OR(ISBLANK(AN12),ISBLANK(AP12)),"N/A",IF(ABS(AP12-AN12)&gt;25,"&gt; 25%","ok"))</f>
        <v>N/A</v>
      </c>
      <c r="CR12" s="80"/>
      <c r="CS12" s="80" t="str">
        <f>IF(OR(ISBLANK(AP12),ISBLANK(AR12)),"N/A",IF(ABS(AR12-AP12)&gt;25,"&gt; 25%","ok"))</f>
        <v>ok</v>
      </c>
      <c r="CT12" s="80"/>
      <c r="CU12" s="80" t="str">
        <f>IF(OR(ISBLANK(AR12),ISBLANK(AT12)),"N/A",IF(ABS(AT12-AR12)&gt;25,"&gt; 25%","ok"))</f>
        <v>ok</v>
      </c>
      <c r="CV12" s="80"/>
      <c r="CW12" s="80" t="str">
        <f>IF(OR(ISBLANK(AT12),ISBLANK(AV12)),"N/A",IF(ABS(AV12-AT12)&gt;25,"&gt; 25%","ok"))</f>
        <v>&gt; 25%</v>
      </c>
      <c r="CX12" s="80"/>
      <c r="CY12" s="80" t="str">
        <f>IF(OR(ISBLANK(AV12),ISBLANK(AX12)),"N/A",IF(ABS(AX12-AV12)&gt;25,"&gt; 25%","ok"))</f>
        <v>ok</v>
      </c>
      <c r="CZ12" s="80"/>
      <c r="DA12" s="80" t="str">
        <f>IF(OR(ISBLANK(AX12),ISBLANK(AZ12)),"N/A",IF(ABS(AZ12-AX12)&gt;25,"&gt; 25%","ok"))</f>
        <v>ok</v>
      </c>
      <c r="DB12" s="291"/>
    </row>
    <row r="13" spans="1:120" ht="5.25" customHeight="1" x14ac:dyDescent="0.2">
      <c r="C13" s="516"/>
      <c r="D13" s="226"/>
      <c r="E13" s="317"/>
      <c r="F13" s="226"/>
      <c r="G13" s="226"/>
      <c r="H13" s="226"/>
      <c r="I13" s="225"/>
      <c r="J13" s="225"/>
      <c r="K13" s="225"/>
      <c r="L13" s="225"/>
      <c r="M13" s="225"/>
      <c r="N13" s="225"/>
      <c r="O13" s="225"/>
      <c r="P13" s="312"/>
      <c r="Q13" s="225"/>
      <c r="R13" s="312"/>
      <c r="S13" s="225"/>
      <c r="T13" s="312"/>
      <c r="U13" s="225"/>
      <c r="V13" s="312"/>
      <c r="W13" s="225"/>
      <c r="X13" s="226"/>
      <c r="Y13" s="225"/>
      <c r="Z13" s="226"/>
      <c r="AA13" s="225"/>
      <c r="AB13" s="226"/>
      <c r="AC13" s="225"/>
      <c r="AD13" s="226"/>
      <c r="AE13" s="225"/>
      <c r="AF13" s="226"/>
      <c r="AG13" s="225"/>
      <c r="AH13" s="226"/>
      <c r="AI13" s="225"/>
      <c r="AJ13" s="312"/>
      <c r="AK13" s="225"/>
      <c r="AL13" s="226"/>
      <c r="AM13" s="225"/>
      <c r="AN13" s="226"/>
    </row>
    <row r="14" spans="1:120" x14ac:dyDescent="0.2">
      <c r="C14" s="380" t="s">
        <v>490</v>
      </c>
      <c r="D14" s="293"/>
      <c r="E14" s="480"/>
      <c r="F14" s="380"/>
      <c r="G14" s="380"/>
      <c r="BD14" s="388" t="s">
        <v>438</v>
      </c>
    </row>
    <row r="15" spans="1:120" ht="13.9" customHeight="1" x14ac:dyDescent="0.2">
      <c r="A15" s="302"/>
      <c r="B15" s="302"/>
      <c r="C15" s="300" t="s">
        <v>484</v>
      </c>
      <c r="D15" s="775" t="s">
        <v>67</v>
      </c>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547"/>
      <c r="BD15" s="252" t="s">
        <v>201</v>
      </c>
      <c r="BE15" s="252" t="s">
        <v>202</v>
      </c>
      <c r="BF15" s="252" t="s">
        <v>203</v>
      </c>
      <c r="BG15" s="600">
        <v>1990</v>
      </c>
      <c r="BH15" s="601"/>
      <c r="BI15" s="600">
        <v>1995</v>
      </c>
      <c r="BJ15" s="601"/>
      <c r="BK15" s="600">
        <v>1996</v>
      </c>
      <c r="BL15" s="601"/>
      <c r="BM15" s="600">
        <v>1997</v>
      </c>
      <c r="BN15" s="601"/>
      <c r="BO15" s="600">
        <v>1998</v>
      </c>
      <c r="BP15" s="601"/>
      <c r="BQ15" s="600">
        <v>1999</v>
      </c>
      <c r="BR15" s="601"/>
      <c r="BS15" s="600">
        <v>2000</v>
      </c>
      <c r="BT15" s="601"/>
      <c r="BU15" s="600">
        <v>2001</v>
      </c>
      <c r="BV15" s="601"/>
      <c r="BW15" s="600">
        <v>2002</v>
      </c>
      <c r="BX15" s="601"/>
      <c r="BY15" s="600">
        <v>2003</v>
      </c>
      <c r="BZ15" s="601"/>
      <c r="CA15" s="600">
        <v>2004</v>
      </c>
      <c r="CB15" s="601"/>
      <c r="CC15" s="600">
        <v>2005</v>
      </c>
      <c r="CD15" s="601"/>
      <c r="CE15" s="600">
        <v>2006</v>
      </c>
      <c r="CF15" s="601"/>
      <c r="CG15" s="600">
        <v>2007</v>
      </c>
      <c r="CH15" s="601"/>
      <c r="CI15" s="600">
        <v>2008</v>
      </c>
      <c r="CJ15" s="601"/>
      <c r="CK15" s="600">
        <v>2009</v>
      </c>
      <c r="CL15" s="601"/>
      <c r="CM15" s="600">
        <v>2010</v>
      </c>
      <c r="CN15" s="601"/>
      <c r="CO15" s="600">
        <v>2011</v>
      </c>
      <c r="CP15" s="604"/>
      <c r="CQ15" s="600">
        <v>2012</v>
      </c>
      <c r="CR15" s="601"/>
      <c r="CS15" s="600">
        <v>2013</v>
      </c>
      <c r="CT15" s="601"/>
      <c r="CU15" s="600">
        <v>2014</v>
      </c>
      <c r="CV15" s="604"/>
      <c r="CW15" s="600">
        <v>2015</v>
      </c>
      <c r="CX15" s="601"/>
      <c r="CY15" s="600">
        <v>2016</v>
      </c>
      <c r="CZ15" s="604"/>
      <c r="DA15" s="600">
        <v>2017</v>
      </c>
      <c r="DB15" s="253"/>
      <c r="DC15" s="305"/>
      <c r="DD15" s="305"/>
      <c r="DE15" s="305"/>
      <c r="DF15" s="305"/>
      <c r="DG15" s="305"/>
      <c r="DH15" s="305"/>
      <c r="DI15" s="305"/>
      <c r="DJ15" s="305"/>
      <c r="DK15" s="305"/>
      <c r="DL15" s="305"/>
      <c r="DM15" s="305"/>
      <c r="DN15" s="305"/>
      <c r="DO15" s="305"/>
      <c r="DP15" s="305"/>
    </row>
    <row r="16" spans="1:120" ht="12.6" customHeight="1" x14ac:dyDescent="0.2">
      <c r="A16" s="302"/>
      <c r="B16" s="302"/>
      <c r="C16" s="300" t="s">
        <v>484</v>
      </c>
      <c r="D16" s="771" t="s">
        <v>121</v>
      </c>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c r="AZ16" s="771"/>
      <c r="BA16" s="771"/>
      <c r="BB16" s="771"/>
      <c r="BC16" s="547"/>
      <c r="BD16" s="420">
        <v>1</v>
      </c>
      <c r="BE16" s="543" t="s">
        <v>384</v>
      </c>
      <c r="BF16" s="98" t="s">
        <v>194</v>
      </c>
      <c r="BG16" s="98">
        <f>F8</f>
        <v>0</v>
      </c>
      <c r="BH16" s="98"/>
      <c r="BI16" s="98">
        <f>H8</f>
        <v>0</v>
      </c>
      <c r="BJ16" s="98"/>
      <c r="BK16" s="98">
        <f>J8</f>
        <v>0</v>
      </c>
      <c r="BL16" s="98"/>
      <c r="BM16" s="98">
        <f>L8</f>
        <v>0</v>
      </c>
      <c r="BN16" s="98"/>
      <c r="BO16" s="98">
        <f>N8</f>
        <v>0</v>
      </c>
      <c r="BP16" s="98"/>
      <c r="BQ16" s="98">
        <f>P8</f>
        <v>0</v>
      </c>
      <c r="BR16" s="98"/>
      <c r="BS16" s="98">
        <f>R8</f>
        <v>0</v>
      </c>
      <c r="BT16" s="98"/>
      <c r="BU16" s="98">
        <f>T8</f>
        <v>0</v>
      </c>
      <c r="BV16" s="98"/>
      <c r="BW16" s="98">
        <f>V8</f>
        <v>0</v>
      </c>
      <c r="BX16" s="98"/>
      <c r="BY16" s="98">
        <f>X8</f>
        <v>69.970001220703125</v>
      </c>
      <c r="BZ16" s="98"/>
      <c r="CA16" s="98">
        <f>Z8</f>
        <v>87.699996948242188</v>
      </c>
      <c r="CB16" s="98"/>
      <c r="CC16" s="98">
        <f>AB8</f>
        <v>88.900001525878906</v>
      </c>
      <c r="CD16" s="98"/>
      <c r="CE16" s="98">
        <f>AD8</f>
        <v>0</v>
      </c>
      <c r="CF16" s="98"/>
      <c r="CG16" s="98">
        <f>AF8</f>
        <v>85.199996948242188</v>
      </c>
      <c r="CH16" s="98"/>
      <c r="CI16" s="98">
        <f>AH8</f>
        <v>86.099998474121094</v>
      </c>
      <c r="CJ16" s="98"/>
      <c r="CK16" s="98">
        <f>AJ8</f>
        <v>83.900001525878906</v>
      </c>
      <c r="CL16" s="98"/>
      <c r="CM16" s="98">
        <f>AL8</f>
        <v>84.300003051757813</v>
      </c>
      <c r="CN16" s="98"/>
      <c r="CO16" s="98">
        <f>AN8</f>
        <v>0</v>
      </c>
      <c r="CP16" s="98"/>
      <c r="CQ16" s="98">
        <f>AP8</f>
        <v>85.800003051757813</v>
      </c>
      <c r="CR16" s="266"/>
      <c r="CS16" s="98">
        <f>AR8</f>
        <v>86.199996948242188</v>
      </c>
      <c r="CT16" s="98"/>
      <c r="CU16" s="98">
        <f>AT8</f>
        <v>86.5</v>
      </c>
      <c r="CV16" s="98"/>
      <c r="CW16" s="98">
        <f>AV8</f>
        <v>87.472780902823615</v>
      </c>
      <c r="CX16" s="98"/>
      <c r="CY16" s="98">
        <f>AX8</f>
        <v>88.270994036519326</v>
      </c>
      <c r="CZ16" s="98"/>
      <c r="DA16" s="98">
        <f>AZ8</f>
        <v>88.03468409393443</v>
      </c>
      <c r="DB16" s="266"/>
      <c r="DC16" s="305"/>
      <c r="DD16" s="305"/>
      <c r="DE16" s="305"/>
      <c r="DF16" s="305"/>
      <c r="DG16" s="305"/>
      <c r="DH16" s="305"/>
      <c r="DI16" s="305"/>
      <c r="DJ16" s="305"/>
      <c r="DK16" s="305"/>
      <c r="DL16" s="305"/>
      <c r="DM16" s="305"/>
      <c r="DN16" s="305"/>
      <c r="DO16" s="305"/>
      <c r="DP16" s="305"/>
    </row>
    <row r="17" spans="1:120" ht="5.45" customHeight="1" x14ac:dyDescent="0.2">
      <c r="A17" s="302"/>
      <c r="B17" s="302"/>
      <c r="C17" s="300"/>
      <c r="D17" s="78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547"/>
      <c r="BD17" s="402">
        <v>2</v>
      </c>
      <c r="BE17" s="544" t="s">
        <v>385</v>
      </c>
      <c r="BF17" s="98" t="s">
        <v>194</v>
      </c>
      <c r="BG17" s="98">
        <f>F9</f>
        <v>0</v>
      </c>
      <c r="BH17" s="98"/>
      <c r="BI17" s="98">
        <f>H9</f>
        <v>0</v>
      </c>
      <c r="BJ17" s="98"/>
      <c r="BK17" s="98">
        <f>J9</f>
        <v>0</v>
      </c>
      <c r="BL17" s="98"/>
      <c r="BM17" s="98">
        <f>L9</f>
        <v>0</v>
      </c>
      <c r="BN17" s="98"/>
      <c r="BO17" s="98">
        <f>N9</f>
        <v>0</v>
      </c>
      <c r="BP17" s="98"/>
      <c r="BQ17" s="98">
        <f>P9</f>
        <v>0</v>
      </c>
      <c r="BR17" s="98"/>
      <c r="BS17" s="98">
        <f>R9</f>
        <v>0</v>
      </c>
      <c r="BT17" s="98"/>
      <c r="BU17" s="98">
        <f>T9</f>
        <v>0</v>
      </c>
      <c r="BV17" s="98"/>
      <c r="BW17" s="98">
        <f>V9</f>
        <v>0</v>
      </c>
      <c r="BX17" s="98"/>
      <c r="BY17" s="98">
        <f>X9</f>
        <v>69.970001220703125</v>
      </c>
      <c r="BZ17" s="98"/>
      <c r="CA17" s="98">
        <f>Z9</f>
        <v>71.339996337890625</v>
      </c>
      <c r="CB17" s="98"/>
      <c r="CC17" s="98">
        <f>AB9</f>
        <v>72.709999084472656</v>
      </c>
      <c r="CD17" s="98"/>
      <c r="CE17" s="98">
        <f>AD9</f>
        <v>0</v>
      </c>
      <c r="CF17" s="98"/>
      <c r="CG17" s="98">
        <f>AF9</f>
        <v>90.800003051757813</v>
      </c>
      <c r="CH17" s="98"/>
      <c r="CI17" s="98">
        <f>AH9</f>
        <v>91.5</v>
      </c>
      <c r="CJ17" s="98"/>
      <c r="CK17" s="98">
        <f>AJ9</f>
        <v>89.699996948242188</v>
      </c>
      <c r="CL17" s="98"/>
      <c r="CM17" s="98">
        <f>AL9</f>
        <v>89.800003051757813</v>
      </c>
      <c r="CN17" s="98"/>
      <c r="CO17" s="98">
        <f>AN9</f>
        <v>0</v>
      </c>
      <c r="CP17" s="98"/>
      <c r="CQ17" s="98">
        <f>AP9</f>
        <v>91.199996948242188</v>
      </c>
      <c r="CR17" s="266"/>
      <c r="CS17" s="98">
        <f>AR9</f>
        <v>91.199996948242188</v>
      </c>
      <c r="CT17" s="98"/>
      <c r="CU17" s="98">
        <f>AT9</f>
        <v>91.300003051757813</v>
      </c>
      <c r="CV17" s="98"/>
      <c r="CW17" s="98">
        <f>AV9</f>
        <v>91.817654842972672</v>
      </c>
      <c r="CX17" s="98"/>
      <c r="CY17" s="98">
        <f>AX9</f>
        <v>92.289011367833865</v>
      </c>
      <c r="CZ17" s="98"/>
      <c r="DA17" s="98">
        <f>AZ9</f>
        <v>92.447121011991555</v>
      </c>
      <c r="DB17" s="266"/>
      <c r="DC17" s="305"/>
      <c r="DD17" s="305"/>
      <c r="DE17" s="305"/>
      <c r="DF17" s="305"/>
      <c r="DG17" s="305"/>
      <c r="DH17" s="305"/>
      <c r="DI17" s="305"/>
      <c r="DJ17" s="305"/>
      <c r="DK17" s="305"/>
      <c r="DL17" s="305"/>
      <c r="DM17" s="305"/>
      <c r="DN17" s="305"/>
      <c r="DO17" s="305"/>
      <c r="DP17" s="305"/>
    </row>
    <row r="18" spans="1:120" s="220" customFormat="1" ht="16.5" customHeight="1" x14ac:dyDescent="0.2">
      <c r="A18" s="198"/>
      <c r="B18" s="199"/>
      <c r="C18" s="424"/>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D18" s="308" t="s">
        <v>139</v>
      </c>
      <c r="BE18" s="304" t="s">
        <v>440</v>
      </c>
      <c r="BF18" s="98"/>
      <c r="BG18" s="98" t="str">
        <f>IF(OR(ISBLANK(F8),ISBLANK(F9)),"N/A",IF(BG16&gt;=BG17,"ok","&lt;&gt;"))</f>
        <v>N/A</v>
      </c>
      <c r="BH18" s="98"/>
      <c r="BI18" s="98" t="str">
        <f>IF(OR(ISBLANK(H8),ISBLANK(H9)),"N/A",IF(BI16&gt;=BI17,"ok","&lt;&gt;"))</f>
        <v>N/A</v>
      </c>
      <c r="BJ18" s="98"/>
      <c r="BK18" s="98" t="str">
        <f>IF(OR(ISBLANK(J8),ISBLANK(J9)),"N/A",IF(BK16&gt;=BK17,"ok","&lt;&gt;"))</f>
        <v>N/A</v>
      </c>
      <c r="BL18" s="98"/>
      <c r="BM18" s="98" t="str">
        <f>IF(OR(ISBLANK(L8),ISBLANK(L9)),"N/A",IF(BM16&gt;=BM17,"ok","&lt;&gt;"))</f>
        <v>N/A</v>
      </c>
      <c r="BN18" s="98"/>
      <c r="BO18" s="98" t="str">
        <f>IF(OR(ISBLANK(N8),ISBLANK(N9)),"N/A",IF(BO16&gt;=BO17,"ok","&lt;&gt;"))</f>
        <v>N/A</v>
      </c>
      <c r="BP18" s="98"/>
      <c r="BQ18" s="98" t="str">
        <f>IF(OR(ISBLANK(P8),ISBLANK(P9)),"N/A",IF(BQ16&gt;=BQ17,"ok","&lt;&gt;"))</f>
        <v>N/A</v>
      </c>
      <c r="BR18" s="98"/>
      <c r="BS18" s="98" t="str">
        <f>IF(OR(ISBLANK(R8),ISBLANK(R9)),"N/A",IF(BS16&gt;=BS17,"ok","&lt;&gt;"))</f>
        <v>N/A</v>
      </c>
      <c r="BT18" s="98"/>
      <c r="BU18" s="98" t="str">
        <f>IF(OR(ISBLANK(T8),ISBLANK(T9)),"N/A",IF(BU16&gt;=BU17,"ok","&lt;&gt;"))</f>
        <v>N/A</v>
      </c>
      <c r="BV18" s="98"/>
      <c r="BW18" s="98" t="str">
        <f>IF(OR(ISBLANK(V8),ISBLANK(V9)),"N/A",IF(BW16&gt;=BW17,"ok","&lt;&gt;"))</f>
        <v>N/A</v>
      </c>
      <c r="BX18" s="98"/>
      <c r="BY18" s="98" t="str">
        <f>IF(OR(ISBLANK(X8),ISBLANK(X9)),"N/A",IF(BY16&gt;=BY17,"ok","&lt;&gt;"))</f>
        <v>ok</v>
      </c>
      <c r="BZ18" s="98"/>
      <c r="CA18" s="98" t="str">
        <f>IF(OR(ISBLANK(Z8),ISBLANK(Z9)),"N/A",IF(CA16&gt;=CA17,"ok","&lt;&gt;"))</f>
        <v>ok</v>
      </c>
      <c r="CB18" s="98"/>
      <c r="CC18" s="98" t="str">
        <f>IF(OR(ISBLANK(AB8),ISBLANK(AB9)),"N/A",IF(CC16&gt;=CC17,"ok","&lt;&gt;"))</f>
        <v>ok</v>
      </c>
      <c r="CD18" s="98"/>
      <c r="CE18" s="98" t="str">
        <f>IF(OR(ISBLANK(AD8),ISBLANK(AD9)),"N/A",IF(CE16&gt;=CE17,"ok","&lt;&gt;"))</f>
        <v>N/A</v>
      </c>
      <c r="CF18" s="98"/>
      <c r="CG18" s="98" t="str">
        <f>IF(OR(ISBLANK(AF8),ISBLANK(AF9)),"N/A",IF(CG16&gt;=CG17,"ok","&lt;&gt;"))</f>
        <v>&lt;&gt;</v>
      </c>
      <c r="CH18" s="98"/>
      <c r="CI18" s="98" t="str">
        <f>IF(OR(ISBLANK(AH8),ISBLANK(AH9)),"N/A",IF(CI16&gt;=CI17,"ok","&lt;&gt;"))</f>
        <v>&lt;&gt;</v>
      </c>
      <c r="CJ18" s="98"/>
      <c r="CK18" s="98" t="str">
        <f>IF(OR(ISBLANK(AJ8),ISBLANK(AJ9)),"N/A",IF(CK16&gt;=CK17,"ok","&lt;&gt;"))</f>
        <v>&lt;&gt;</v>
      </c>
      <c r="CL18" s="98"/>
      <c r="CM18" s="98" t="str">
        <f>IF(OR(ISBLANK(AL8),ISBLANK(AL9)),"N/A",IF(CM16&gt;=CM17,"ok","&lt;&gt;"))</f>
        <v>&lt;&gt;</v>
      </c>
      <c r="CN18" s="98"/>
      <c r="CO18" s="98" t="str">
        <f>IF(OR(ISBLANK(AN8),ISBLANK(AN9)),"N/A",IF(CO16&gt;=CO17,"ok","&lt;&gt;"))</f>
        <v>N/A</v>
      </c>
      <c r="CP18" s="98"/>
      <c r="CQ18" s="98" t="str">
        <f>IF(OR(ISBLANK(AP8),ISBLANK(AP9)),"N/A",IF(CQ16&gt;=CQ17,"ok","&lt;&gt;"))</f>
        <v>&lt;&gt;</v>
      </c>
      <c r="CR18" s="266"/>
      <c r="CS18" s="98" t="str">
        <f>IF(OR(ISBLANK(AR8),ISBLANK(AR9)),"N/A",IF(CS16&gt;=CS17,"ok","&lt;&gt;"))</f>
        <v>&lt;&gt;</v>
      </c>
      <c r="CT18" s="98"/>
      <c r="CU18" s="98" t="str">
        <f>IF(OR(ISBLANK(AT8),ISBLANK(AT9)),"N/A",IF(CU16&gt;=CU17,"ok","&lt;&gt;"))</f>
        <v>&lt;&gt;</v>
      </c>
      <c r="CV18" s="98"/>
      <c r="CW18" s="98" t="str">
        <f>IF(OR(ISBLANK(AV8),ISBLANK(AV9)),"N/A",IF(CW16&gt;=CW17,"ok","&lt;&gt;"))</f>
        <v>&lt;&gt;</v>
      </c>
      <c r="CX18" s="98"/>
      <c r="CY18" s="98" t="str">
        <f>IF(OR(ISBLANK(AX8),ISBLANK(AX9)),"N/A",IF(CY16&gt;=CY17,"ok","&lt;&gt;"))</f>
        <v>&lt;&gt;</v>
      </c>
      <c r="CZ18" s="98"/>
      <c r="DA18" s="98" t="str">
        <f>IF(OR(ISBLANK(AZ8),ISBLANK(AZ9)),"N/A",IF(DA16&gt;=DA17,"ok","&lt;&gt;"))</f>
        <v>&lt;&gt;</v>
      </c>
      <c r="DB18" s="266"/>
    </row>
    <row r="19" spans="1:120" s="452" customFormat="1" ht="22.5" x14ac:dyDescent="0.25">
      <c r="A19" s="451"/>
      <c r="B19" s="440">
        <v>3</v>
      </c>
      <c r="C19" s="326" t="s">
        <v>122</v>
      </c>
      <c r="D19" s="425"/>
      <c r="E19" s="326"/>
      <c r="F19" s="231"/>
      <c r="G19" s="231"/>
      <c r="H19" s="329"/>
      <c r="I19" s="330"/>
      <c r="J19" s="330"/>
      <c r="K19" s="330"/>
      <c r="L19" s="330"/>
      <c r="M19" s="330"/>
      <c r="N19" s="330"/>
      <c r="O19" s="330"/>
      <c r="P19" s="331"/>
      <c r="Q19" s="330"/>
      <c r="R19" s="331"/>
      <c r="S19" s="330"/>
      <c r="T19" s="331"/>
      <c r="U19" s="330"/>
      <c r="V19" s="331"/>
      <c r="W19" s="330"/>
      <c r="X19" s="329"/>
      <c r="Y19" s="330"/>
      <c r="Z19" s="329"/>
      <c r="AA19" s="330"/>
      <c r="AB19" s="329"/>
      <c r="AC19" s="330"/>
      <c r="AD19" s="329"/>
      <c r="AE19" s="330"/>
      <c r="AF19" s="329"/>
      <c r="AG19" s="426"/>
      <c r="AH19" s="329"/>
      <c r="AI19" s="330"/>
      <c r="AJ19" s="331"/>
      <c r="AK19" s="330"/>
      <c r="AL19" s="329"/>
      <c r="AM19" s="330"/>
      <c r="AN19" s="329"/>
      <c r="AO19" s="330"/>
      <c r="AP19" s="330"/>
      <c r="AQ19" s="330"/>
      <c r="AR19" s="330"/>
      <c r="AS19" s="330"/>
      <c r="AT19" s="382"/>
      <c r="AU19" s="381"/>
      <c r="AV19" s="330"/>
      <c r="AW19" s="330"/>
      <c r="AX19" s="382"/>
      <c r="AY19" s="381"/>
      <c r="AZ19" s="382"/>
      <c r="BA19" s="381"/>
      <c r="BB19" s="459"/>
      <c r="BC19" s="459"/>
      <c r="BD19" s="98">
        <v>3</v>
      </c>
      <c r="BE19" s="546" t="s">
        <v>376</v>
      </c>
      <c r="BF19" s="98" t="s">
        <v>194</v>
      </c>
      <c r="BG19" s="98">
        <f>F10</f>
        <v>0</v>
      </c>
      <c r="BH19" s="98"/>
      <c r="BI19" s="98">
        <f>H10</f>
        <v>0</v>
      </c>
      <c r="BJ19" s="98"/>
      <c r="BK19" s="98">
        <f>J10</f>
        <v>0</v>
      </c>
      <c r="BL19" s="98"/>
      <c r="BM19" s="98">
        <f>L10</f>
        <v>0</v>
      </c>
      <c r="BN19" s="98"/>
      <c r="BO19" s="98">
        <f>N10</f>
        <v>0</v>
      </c>
      <c r="BP19" s="98"/>
      <c r="BQ19" s="98">
        <f>P10</f>
        <v>0</v>
      </c>
      <c r="BR19" s="98"/>
      <c r="BS19" s="98">
        <f>R10</f>
        <v>0</v>
      </c>
      <c r="BT19" s="98"/>
      <c r="BU19" s="98">
        <f>T10</f>
        <v>0</v>
      </c>
      <c r="BV19" s="98"/>
      <c r="BW19" s="98">
        <f>V10</f>
        <v>0</v>
      </c>
      <c r="BX19" s="98"/>
      <c r="BY19" s="98">
        <f>X10</f>
        <v>0</v>
      </c>
      <c r="BZ19" s="98"/>
      <c r="CA19" s="98">
        <f>Z10</f>
        <v>0</v>
      </c>
      <c r="CB19" s="98"/>
      <c r="CC19" s="98">
        <f>AB10</f>
        <v>0</v>
      </c>
      <c r="CD19" s="98"/>
      <c r="CE19" s="98">
        <f>AD10</f>
        <v>0</v>
      </c>
      <c r="CF19" s="98"/>
      <c r="CG19" s="98">
        <f>AF10</f>
        <v>0</v>
      </c>
      <c r="CH19" s="98"/>
      <c r="CI19" s="98">
        <f>AH10</f>
        <v>0</v>
      </c>
      <c r="CJ19" s="98"/>
      <c r="CK19" s="98">
        <f>AJ10</f>
        <v>0</v>
      </c>
      <c r="CL19" s="98"/>
      <c r="CM19" s="98">
        <f>AL10</f>
        <v>0</v>
      </c>
      <c r="CN19" s="98"/>
      <c r="CO19" s="98">
        <f>AN10</f>
        <v>0</v>
      </c>
      <c r="CP19" s="98"/>
      <c r="CQ19" s="98">
        <f>AP10</f>
        <v>0</v>
      </c>
      <c r="CR19" s="266"/>
      <c r="CS19" s="98">
        <f>AR10</f>
        <v>0</v>
      </c>
      <c r="CT19" s="98"/>
      <c r="CU19" s="98">
        <f>AT10</f>
        <v>0</v>
      </c>
      <c r="CV19" s="98"/>
      <c r="CW19" s="98">
        <f>AV10</f>
        <v>0</v>
      </c>
      <c r="CX19" s="98"/>
      <c r="CY19" s="98">
        <f>AX10</f>
        <v>0</v>
      </c>
      <c r="CZ19" s="98"/>
      <c r="DA19" s="98">
        <f>AZ10</f>
        <v>0</v>
      </c>
      <c r="DB19" s="266"/>
    </row>
    <row r="20" spans="1:120" ht="2.25" customHeight="1" x14ac:dyDescent="0.25">
      <c r="C20" s="427"/>
      <c r="D20" s="567"/>
      <c r="E20" s="568"/>
      <c r="F20" s="438"/>
      <c r="G20" s="438"/>
      <c r="H20" s="362"/>
      <c r="I20" s="367"/>
      <c r="J20" s="367"/>
      <c r="K20" s="367"/>
      <c r="L20" s="367"/>
      <c r="M20" s="367"/>
      <c r="N20" s="367"/>
      <c r="O20" s="367"/>
      <c r="P20" s="441"/>
      <c r="Q20" s="367"/>
      <c r="R20" s="441"/>
      <c r="S20" s="367"/>
      <c r="T20" s="441"/>
      <c r="U20" s="367"/>
      <c r="V20" s="441"/>
      <c r="W20" s="367"/>
      <c r="X20" s="362"/>
      <c r="Y20" s="367"/>
      <c r="Z20" s="362"/>
      <c r="AA20" s="367"/>
      <c r="AB20" s="362"/>
      <c r="AC20" s="367"/>
      <c r="AD20" s="362"/>
      <c r="AE20" s="367"/>
      <c r="AF20" s="362"/>
      <c r="AG20" s="569"/>
      <c r="AH20" s="362"/>
      <c r="AI20" s="367"/>
      <c r="AJ20" s="441"/>
      <c r="AK20" s="367"/>
      <c r="AL20" s="362"/>
      <c r="AM20" s="367"/>
      <c r="AN20" s="362"/>
      <c r="AO20" s="367"/>
      <c r="AP20" s="367"/>
      <c r="AQ20" s="367"/>
      <c r="AR20" s="367"/>
      <c r="AS20" s="367"/>
      <c r="AV20" s="367"/>
      <c r="AW20" s="367"/>
      <c r="BD20" s="402"/>
      <c r="BE20" s="548"/>
      <c r="BF20" s="98"/>
      <c r="BG20" s="98"/>
      <c r="BH20" s="266"/>
      <c r="BI20" s="79"/>
      <c r="BJ20" s="266"/>
      <c r="BK20" s="79"/>
      <c r="BL20" s="266"/>
      <c r="BM20" s="79"/>
      <c r="BN20" s="266"/>
      <c r="BO20" s="79"/>
      <c r="BP20" s="266"/>
      <c r="BQ20" s="79"/>
      <c r="BR20" s="266"/>
      <c r="BS20" s="79"/>
      <c r="BT20" s="266"/>
      <c r="BU20" s="79"/>
      <c r="BV20" s="266"/>
      <c r="BW20" s="98"/>
      <c r="BX20" s="266"/>
      <c r="BY20" s="98"/>
      <c r="BZ20" s="266"/>
      <c r="CA20" s="98"/>
      <c r="CB20" s="266"/>
      <c r="CC20" s="98"/>
      <c r="CD20" s="266"/>
      <c r="CE20" s="98"/>
      <c r="CF20" s="266"/>
      <c r="CG20" s="98"/>
      <c r="CH20" s="266"/>
      <c r="CI20" s="79"/>
      <c r="CJ20" s="266"/>
      <c r="CK20" s="98"/>
      <c r="CL20" s="266"/>
      <c r="CM20" s="98"/>
      <c r="CN20" s="266"/>
      <c r="CO20" s="98"/>
      <c r="CP20" s="266"/>
      <c r="CQ20" s="98"/>
      <c r="CR20" s="266"/>
      <c r="CS20" s="98"/>
      <c r="CT20" s="266"/>
      <c r="CU20" s="98"/>
      <c r="CV20" s="266"/>
      <c r="CW20" s="98"/>
      <c r="CX20" s="266"/>
      <c r="CY20" s="98"/>
      <c r="CZ20" s="266"/>
      <c r="DA20" s="98"/>
      <c r="DB20" s="266"/>
    </row>
    <row r="21" spans="1:120" ht="18" customHeight="1" x14ac:dyDescent="0.2">
      <c r="C21" s="495" t="s">
        <v>525</v>
      </c>
      <c r="D21" s="831" t="s">
        <v>526</v>
      </c>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74"/>
      <c r="BD21" s="566" t="s">
        <v>139</v>
      </c>
      <c r="BE21" s="304" t="s">
        <v>439</v>
      </c>
      <c r="BF21" s="98"/>
      <c r="BG21" s="98" t="str">
        <f>IF(OR(ISBLANK(F10),ISBLANK(F9)),"N/A",IF(BG17&gt;=BG19,"ok","&lt;&gt;"))</f>
        <v>N/A</v>
      </c>
      <c r="BH21" s="98"/>
      <c r="BI21" s="98" t="str">
        <f>IF(OR(ISBLANK(H10),ISBLANK(H9)),"N/A",IF(BI17&gt;=BI19,"ok","&lt;&gt;"))</f>
        <v>N/A</v>
      </c>
      <c r="BJ21" s="98"/>
      <c r="BK21" s="98" t="str">
        <f>IF(OR(ISBLANK(J10),ISBLANK(J9)),"N/A",IF(BK17&gt;=BK19,"ok","&lt;&gt;"))</f>
        <v>N/A</v>
      </c>
      <c r="BL21" s="98"/>
      <c r="BM21" s="98" t="str">
        <f>IF(OR(ISBLANK(L10),ISBLANK(L9)),"N/A",IF(BM17&gt;=BM19,"ok","&lt;&gt;"))</f>
        <v>N/A</v>
      </c>
      <c r="BN21" s="98"/>
      <c r="BO21" s="98" t="str">
        <f>IF(OR(ISBLANK(N10),ISBLANK(N9)),"N/A",IF(BO17&gt;=BO19,"ok","&lt;&gt;"))</f>
        <v>N/A</v>
      </c>
      <c r="BP21" s="98"/>
      <c r="BQ21" s="98" t="str">
        <f>IF(OR(ISBLANK(P10),ISBLANK(P9)),"N/A",IF(BQ17&gt;=BQ19,"ok","&lt;&gt;"))</f>
        <v>N/A</v>
      </c>
      <c r="BR21" s="98"/>
      <c r="BS21" s="98" t="str">
        <f>IF(OR(ISBLANK(R10),ISBLANK(R9)),"N/A",IF(BS17&gt;=BS19,"ok","&lt;&gt;"))</f>
        <v>N/A</v>
      </c>
      <c r="BT21" s="98"/>
      <c r="BU21" s="98" t="str">
        <f>IF(OR(ISBLANK(T10),ISBLANK(T9)),"N/A",IF(BU17&gt;=BU19,"ok","&lt;&gt;"))</f>
        <v>N/A</v>
      </c>
      <c r="BV21" s="98"/>
      <c r="BW21" s="98" t="str">
        <f>IF(OR(ISBLANK(V10),ISBLANK(V9)),"N/A",IF(BW17&gt;=BW19,"ok","&lt;&gt;"))</f>
        <v>N/A</v>
      </c>
      <c r="BX21" s="98"/>
      <c r="BY21" s="98" t="str">
        <f>IF(OR(ISBLANK(X10),ISBLANK(X9)),"N/A",IF(BY17&gt;=BY19,"ok","&lt;&gt;"))</f>
        <v>N/A</v>
      </c>
      <c r="BZ21" s="98"/>
      <c r="CA21" s="98" t="str">
        <f>IF(OR(ISBLANK(Z10),ISBLANK(Z9)),"N/A",IF(CA17&gt;=CA19,"ok","&lt;&gt;"))</f>
        <v>N/A</v>
      </c>
      <c r="CB21" s="98"/>
      <c r="CC21" s="98" t="str">
        <f>IF(OR(ISBLANK(AB10),ISBLANK(AB9)),"N/A",IF(CC17&gt;=CC19,"ok","&lt;&gt;"))</f>
        <v>N/A</v>
      </c>
      <c r="CD21" s="98"/>
      <c r="CE21" s="98" t="str">
        <f>IF(OR(ISBLANK(AD10),ISBLANK(AD9)),"N/A",IF(CE17&gt;=CE19,"ok","&lt;&gt;"))</f>
        <v>N/A</v>
      </c>
      <c r="CF21" s="98"/>
      <c r="CG21" s="98" t="str">
        <f>IF(OR(ISBLANK(AF10),ISBLANK(AF9)),"N/A",IF(CG17&gt;=CG19,"ok","&lt;&gt;"))</f>
        <v>N/A</v>
      </c>
      <c r="CH21" s="98"/>
      <c r="CI21" s="98" t="str">
        <f>IF(OR(ISBLANK(AH10),ISBLANK(AH9)),"N/A",IF(CI17&gt;=CI19,"ok","&lt;&gt;"))</f>
        <v>N/A</v>
      </c>
      <c r="CJ21" s="98"/>
      <c r="CK21" s="98" t="str">
        <f>IF(OR(ISBLANK(AJ10),ISBLANK(AJ9)),"N/A",IF(CK17&gt;=CK19,"ok","&lt;&gt;"))</f>
        <v>N/A</v>
      </c>
      <c r="CL21" s="98"/>
      <c r="CM21" s="98" t="str">
        <f>IF(OR(ISBLANK(AL10),ISBLANK(AL9)),"N/A",IF(CM17&gt;=CM19,"ok","&lt;&gt;"))</f>
        <v>N/A</v>
      </c>
      <c r="CN21" s="98"/>
      <c r="CO21" s="98" t="str">
        <f>IF(OR(ISBLANK(AN10),ISBLANK(AN9)),"N/A",IF(CO17&gt;=CO19,"ok","&lt;&gt;"))</f>
        <v>N/A</v>
      </c>
      <c r="CP21" s="98"/>
      <c r="CQ21" s="98" t="str">
        <f>IF(OR(ISBLANK(AP10),ISBLANK(AP9)),"N/A",IF(CQ17&gt;=CQ19,"ok","&lt;&gt;"))</f>
        <v>N/A</v>
      </c>
      <c r="CR21" s="266"/>
      <c r="CS21" s="98" t="str">
        <f>IF(OR(ISBLANK(AR10),ISBLANK(AR9)),"N/A",IF(CS17&gt;=CS19,"ok","&lt;&gt;"))</f>
        <v>N/A</v>
      </c>
      <c r="CT21" s="98"/>
      <c r="CU21" s="98" t="str">
        <f>IF(OR(ISBLANK(AT10),ISBLANK(AT9)),"N/A",IF(CU17&gt;=CU19,"ok","&lt;&gt;"))</f>
        <v>N/A</v>
      </c>
      <c r="CV21" s="98"/>
      <c r="CW21" s="98" t="str">
        <f>IF(OR(ISBLANK(AV10),ISBLANK(AV9)),"N/A",IF(CW17&gt;=CW19,"ok","&lt;&gt;"))</f>
        <v>N/A</v>
      </c>
      <c r="CX21" s="98"/>
      <c r="CY21" s="98" t="str">
        <f>IF(OR(ISBLANK(AX10),ISBLANK(AX9)),"N/A",IF(CY17&gt;=CY19,"ok","&lt;&gt;"))</f>
        <v>N/A</v>
      </c>
      <c r="CZ21" s="98"/>
      <c r="DA21" s="98" t="str">
        <f>IF(OR(ISBLANK(AZ10),ISBLANK(AZ9)),"N/A",IF(DA17&gt;=DA19,"ok","&lt;&gt;"))</f>
        <v>N/A</v>
      </c>
      <c r="DB21" s="266"/>
    </row>
    <row r="22" spans="1:120" ht="24.75" customHeight="1" x14ac:dyDescent="0.2">
      <c r="A22" s="198">
        <v>0</v>
      </c>
      <c r="B22" s="199">
        <v>6048</v>
      </c>
      <c r="C22" s="577" t="s">
        <v>21</v>
      </c>
      <c r="D22" s="875" t="s">
        <v>688</v>
      </c>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6"/>
      <c r="AY22" s="876"/>
      <c r="AZ22" s="876"/>
      <c r="BA22" s="876"/>
      <c r="BB22" s="876"/>
      <c r="BC22" s="877"/>
      <c r="BD22" s="115">
        <v>5</v>
      </c>
      <c r="BE22" s="269" t="s">
        <v>456</v>
      </c>
      <c r="BF22" s="81" t="s">
        <v>194</v>
      </c>
      <c r="BG22" s="98">
        <f>F12</f>
        <v>0</v>
      </c>
      <c r="BH22" s="98"/>
      <c r="BI22" s="98">
        <f>H12</f>
        <v>0</v>
      </c>
      <c r="BJ22" s="98"/>
      <c r="BK22" s="98">
        <f>J12</f>
        <v>0</v>
      </c>
      <c r="BL22" s="98"/>
      <c r="BM22" s="98">
        <f>L12</f>
        <v>0</v>
      </c>
      <c r="BN22" s="98"/>
      <c r="BO22" s="98">
        <f>N12</f>
        <v>0</v>
      </c>
      <c r="BP22" s="98"/>
      <c r="BQ22" s="98">
        <f>P12</f>
        <v>0</v>
      </c>
      <c r="BR22" s="98"/>
      <c r="BS22" s="98">
        <f>R12</f>
        <v>0</v>
      </c>
      <c r="BT22" s="98"/>
      <c r="BU22" s="98">
        <f>T12</f>
        <v>0</v>
      </c>
      <c r="BV22" s="98"/>
      <c r="BW22" s="98">
        <f>V12</f>
        <v>0</v>
      </c>
      <c r="BX22" s="98"/>
      <c r="BY22" s="98">
        <f>X12</f>
        <v>13.989999771118164</v>
      </c>
      <c r="BZ22" s="98"/>
      <c r="CA22" s="98">
        <f>Z12</f>
        <v>12.270000457763672</v>
      </c>
      <c r="CB22" s="98"/>
      <c r="CC22" s="98">
        <f>AB12</f>
        <v>11.060000419616699</v>
      </c>
      <c r="CD22" s="98"/>
      <c r="CE22" s="98">
        <f>AD12</f>
        <v>0</v>
      </c>
      <c r="CF22" s="98"/>
      <c r="CG22" s="98">
        <f>AF12</f>
        <v>8.7700004577636719</v>
      </c>
      <c r="CH22" s="98"/>
      <c r="CI22" s="98">
        <f>AH12</f>
        <v>6.9200000762939453</v>
      </c>
      <c r="CJ22" s="98"/>
      <c r="CK22" s="98">
        <f>AJ12</f>
        <v>7.3899998664855957</v>
      </c>
      <c r="CL22" s="98"/>
      <c r="CM22" s="98">
        <f>AL12</f>
        <v>5.880000114440918</v>
      </c>
      <c r="CN22" s="98"/>
      <c r="CO22" s="98">
        <f>AN12</f>
        <v>0</v>
      </c>
      <c r="CP22" s="98"/>
      <c r="CQ22" s="98">
        <f>AP12</f>
        <v>23.099998474121094</v>
      </c>
      <c r="CR22" s="266"/>
      <c r="CS22" s="98">
        <f>AR12</f>
        <v>21.299995422363281</v>
      </c>
      <c r="CT22" s="98"/>
      <c r="CU22" s="98">
        <f>AT12</f>
        <v>20.700004577636719</v>
      </c>
      <c r="CV22" s="98"/>
      <c r="CW22" s="98">
        <f>AV12</f>
        <v>91.817654842972672</v>
      </c>
      <c r="CX22" s="98"/>
      <c r="CY22" s="98">
        <f>AX12</f>
        <v>92.289011367833865</v>
      </c>
      <c r="CZ22" s="98"/>
      <c r="DA22" s="637">
        <f>AZ12</f>
        <v>92.447121011991555</v>
      </c>
      <c r="DB22" s="266"/>
    </row>
    <row r="23" spans="1:120" ht="18" customHeight="1" x14ac:dyDescent="0.2">
      <c r="A23" s="198">
        <v>0</v>
      </c>
      <c r="B23" s="199">
        <v>6049</v>
      </c>
      <c r="C23" s="587" t="s">
        <v>681</v>
      </c>
      <c r="D23" s="881" t="s">
        <v>689</v>
      </c>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2"/>
      <c r="AX23" s="882"/>
      <c r="AY23" s="882"/>
      <c r="AZ23" s="882"/>
      <c r="BA23" s="882"/>
      <c r="BB23" s="882"/>
      <c r="BC23" s="883"/>
      <c r="BD23" s="570" t="s">
        <v>139</v>
      </c>
      <c r="BE23" s="338" t="s">
        <v>420</v>
      </c>
      <c r="BF23" s="96"/>
      <c r="BG23" s="96" t="str">
        <f>IF(OR(ISBLANK(F12),ISBLANK(F9),ISBLANK(F11)),"N/A",IF(BG22=100-F11-F9,"ok","&lt;&gt;"))</f>
        <v>N/A</v>
      </c>
      <c r="BH23" s="96"/>
      <c r="BI23" s="96" t="str">
        <f>IF(OR(ISBLANK(H12),ISBLANK(H9),ISBLANK(H11)),"N/A",IF(BI22=100-H11-H9,"ok","&lt;&gt;"))</f>
        <v>N/A</v>
      </c>
      <c r="BJ23" s="96"/>
      <c r="BK23" s="96" t="str">
        <f>IF(OR(ISBLANK(J12),ISBLANK(J9),ISBLANK(J11)),"N/A",IF(BK22=100-J11-J9,"ok","&lt;&gt;"))</f>
        <v>N/A</v>
      </c>
      <c r="BL23" s="96"/>
      <c r="BM23" s="96" t="str">
        <f>IF(OR(ISBLANK(L12),ISBLANK(L9),ISBLANK(L11)),"N/A",IF(BM22=100-L11-L9,"ok","&lt;&gt;"))</f>
        <v>N/A</v>
      </c>
      <c r="BN23" s="96"/>
      <c r="BO23" s="96" t="str">
        <f>IF(OR(ISBLANK(N12),ISBLANK(N9),ISBLANK(N11)),"N/A",IF(BO22=100-N11-N9,"ok","&lt;&gt;"))</f>
        <v>N/A</v>
      </c>
      <c r="BP23" s="96"/>
      <c r="BQ23" s="96" t="str">
        <f>IF(OR(ISBLANK(P12),ISBLANK(P9),ISBLANK(P11)),"N/A",IF(BQ22=100-P11-P9,"ok","&lt;&gt;"))</f>
        <v>N/A</v>
      </c>
      <c r="BR23" s="96"/>
      <c r="BS23" s="96" t="str">
        <f>IF(OR(ISBLANK(R12),ISBLANK(R9),ISBLANK(R11)),"N/A",IF(BS22=100-R11-R9,"ok","&lt;&gt;"))</f>
        <v>N/A</v>
      </c>
      <c r="BT23" s="96"/>
      <c r="BU23" s="96" t="str">
        <f>IF(OR(ISBLANK(T12),ISBLANK(T9),ISBLANK(T11)),"N/A",IF(BU22=100-T11-T9,"ok","&lt;&gt;"))</f>
        <v>N/A</v>
      </c>
      <c r="BV23" s="96"/>
      <c r="BW23" s="96" t="str">
        <f>IF(OR(ISBLANK(V12),ISBLANK(V9),ISBLANK(V11)),"N/A",IF(BW22=100-V11-V9,"ok","&lt;&gt;"))</f>
        <v>N/A</v>
      </c>
      <c r="BX23" s="96"/>
      <c r="BY23" s="96" t="str">
        <f>IF(OR(ISBLANK(X12),ISBLANK(X9),ISBLANK(X11)),"N/A",IF(BY22=100-X11-X9,"ok","&lt;&gt;"))</f>
        <v>&lt;&gt;</v>
      </c>
      <c r="BZ23" s="96"/>
      <c r="CA23" s="96" t="str">
        <f>IF(OR(ISBLANK(Z12),ISBLANK(Z9),ISBLANK(Z11)),"N/A",IF(CA22=100-Z11-Z9,"ok","&lt;&gt;"))</f>
        <v>&lt;&gt;</v>
      </c>
      <c r="CB23" s="96"/>
      <c r="CC23" s="96" t="str">
        <f>IF(OR(ISBLANK(AB12),ISBLANK(AB9),ISBLANK(AB11)),"N/A",IF(CC22=100-AB11-AB9,"ok","&lt;&gt;"))</f>
        <v>&lt;&gt;</v>
      </c>
      <c r="CD23" s="96"/>
      <c r="CE23" s="96" t="str">
        <f>IF(OR(ISBLANK(AD12),ISBLANK(AD9),ISBLANK(AD11)),"N/A",IF(CE22=100-AD11-AD9,"ok","&lt;&gt;"))</f>
        <v>N/A</v>
      </c>
      <c r="CF23" s="96"/>
      <c r="CG23" s="96" t="str">
        <f>IF(OR(ISBLANK(AF12),ISBLANK(AF9),ISBLANK(AF11)),"N/A",IF(CG22=100-AF11-AF9,"ok","&lt;&gt;"))</f>
        <v>&lt;&gt;</v>
      </c>
      <c r="CH23" s="96"/>
      <c r="CI23" s="96" t="str">
        <f>IF(OR(ISBLANK(AH12),ISBLANK(AH9),ISBLANK(AH11)),"N/A",IF(CI22=100-AH11-AH9,"ok","&lt;&gt;"))</f>
        <v>&lt;&gt;</v>
      </c>
      <c r="CJ23" s="96"/>
      <c r="CK23" s="96" t="str">
        <f>IF(OR(ISBLANK(AJ12),ISBLANK(AJ9),ISBLANK(AJ11)),"N/A",IF(CK22=100-AJ11-AJ9,"ok","&lt;&gt;"))</f>
        <v>&lt;&gt;</v>
      </c>
      <c r="CL23" s="96"/>
      <c r="CM23" s="96" t="str">
        <f>IF(OR(ISBLANK(AL12),ISBLANK(AL9),ISBLANK(AL11)),"N/A",IF(CM22=100-AL11-AL9,"ok","&lt;&gt;"))</f>
        <v>&lt;&gt;</v>
      </c>
      <c r="CN23" s="96"/>
      <c r="CO23" s="96" t="str">
        <f>IF(OR(ISBLANK(AN12),ISBLANK(AN9),ISBLANK(AN11)),"N/A",IF(CO22=100-AN11-AN9,"ok","&lt;&gt;"))</f>
        <v>N/A</v>
      </c>
      <c r="CP23" s="96"/>
      <c r="CQ23" s="96" t="str">
        <f>IF(OR(ISBLANK(AP12),ISBLANK(AP9),ISBLANK(AP11)),"N/A",IF(CQ22=100-AP11-AP9,"ok","&lt;&gt;"))</f>
        <v>&lt;&gt;</v>
      </c>
      <c r="CR23" s="96"/>
      <c r="CS23" s="96" t="str">
        <f>IF(OR(ISBLANK(AR12),ISBLANK(AR9),ISBLANK(AR11)),"N/A",IF(CS22=100-AR11-AR9,"ok","&lt;&gt;"))</f>
        <v>&lt;&gt;</v>
      </c>
      <c r="CT23" s="96"/>
      <c r="CU23" s="96" t="str">
        <f>IF(OR(ISBLANK(AT12),ISBLANK(AT9),ISBLANK(AT11)),"N/A",IF(CU22=100-AT11-AT9,"ok","&lt;&gt;"))</f>
        <v>&lt;&gt;</v>
      </c>
      <c r="CV23" s="96"/>
      <c r="CW23" s="96" t="str">
        <f>IF(OR(ISBLANK(AV12),ISBLANK(AV9),ISBLANK(AV11)),"N/A",IF(CW22=100-AV11-AV9,"ok","&lt;&gt;"))</f>
        <v>N/A</v>
      </c>
      <c r="CX23" s="96"/>
      <c r="CY23" s="96" t="str">
        <f>IF(OR(ISBLANK(AX12),ISBLANK(AX9),ISBLANK(AX11)),"N/A",IF(CY22=100-AX11-AX9,"ok","&lt;&gt;"))</f>
        <v>N/A</v>
      </c>
      <c r="CZ23" s="96"/>
      <c r="DA23" s="96" t="str">
        <f>IF(OR(ISBLANK(AZ12),ISBLANK(AZ9),ISBLANK(AZ11)),"N/A",IF(DA22=100-AZ11-AZ9,"ok","&lt;&gt;"))</f>
        <v>N/A</v>
      </c>
      <c r="DB23" s="291"/>
    </row>
    <row r="24" spans="1:120" ht="18" customHeight="1" x14ac:dyDescent="0.2">
      <c r="C24" s="581"/>
      <c r="D24" s="788"/>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789"/>
      <c r="BA24" s="789"/>
      <c r="BB24" s="789"/>
      <c r="BC24" s="884"/>
      <c r="BD24" s="339" t="s">
        <v>447</v>
      </c>
      <c r="BE24" s="340" t="s">
        <v>448</v>
      </c>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435"/>
      <c r="CS24" s="97"/>
      <c r="CT24" s="97"/>
      <c r="CU24" s="97"/>
      <c r="CV24" s="97"/>
      <c r="CW24" s="97"/>
      <c r="CX24" s="97"/>
      <c r="CY24" s="97"/>
      <c r="CZ24" s="97"/>
      <c r="DA24" s="97"/>
      <c r="DB24" s="435"/>
    </row>
    <row r="25" spans="1:120" ht="18" customHeight="1" x14ac:dyDescent="0.2">
      <c r="C25" s="581"/>
      <c r="D25" s="878"/>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879"/>
      <c r="AY25" s="879"/>
      <c r="AZ25" s="879"/>
      <c r="BA25" s="879"/>
      <c r="BB25" s="879"/>
      <c r="BC25" s="880"/>
      <c r="BD25" s="339" t="s">
        <v>449</v>
      </c>
      <c r="BE25" s="340" t="s">
        <v>450</v>
      </c>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row>
    <row r="26" spans="1:120" ht="18" customHeight="1" x14ac:dyDescent="0.2">
      <c r="C26" s="581"/>
      <c r="D26" s="788"/>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89"/>
      <c r="AY26" s="789"/>
      <c r="AZ26" s="789"/>
      <c r="BA26" s="789"/>
      <c r="BB26" s="789"/>
      <c r="BC26" s="884"/>
      <c r="BD26" s="341" t="s">
        <v>452</v>
      </c>
      <c r="BE26" s="340" t="s">
        <v>454</v>
      </c>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row>
    <row r="27" spans="1:120" ht="18" customHeight="1" x14ac:dyDescent="0.2">
      <c r="C27" s="581"/>
      <c r="D27" s="885"/>
      <c r="E27" s="886"/>
      <c r="F27" s="886"/>
      <c r="G27" s="886"/>
      <c r="H27" s="886"/>
      <c r="I27" s="886"/>
      <c r="J27" s="886"/>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c r="AS27" s="886"/>
      <c r="AT27" s="886"/>
      <c r="AU27" s="886"/>
      <c r="AV27" s="886"/>
      <c r="AW27" s="886"/>
      <c r="AX27" s="886"/>
      <c r="AY27" s="886"/>
      <c r="AZ27" s="886"/>
      <c r="BA27" s="886"/>
      <c r="BB27" s="886"/>
      <c r="BC27" s="887"/>
      <c r="BD27" s="341" t="s">
        <v>451</v>
      </c>
      <c r="BE27" s="340" t="s">
        <v>386</v>
      </c>
      <c r="BF27" s="97"/>
      <c r="BG27" s="97"/>
      <c r="BH27" s="435"/>
      <c r="BI27" s="114"/>
      <c r="BJ27" s="435"/>
      <c r="BK27" s="435"/>
      <c r="BL27" s="435"/>
      <c r="BM27" s="435"/>
      <c r="BN27" s="435"/>
      <c r="BO27" s="435"/>
      <c r="BP27" s="435"/>
      <c r="BQ27" s="114"/>
      <c r="BR27" s="435"/>
      <c r="BS27" s="114"/>
      <c r="BT27" s="435"/>
      <c r="BU27" s="114"/>
      <c r="BV27" s="435"/>
      <c r="BW27" s="97"/>
      <c r="BX27" s="435"/>
      <c r="BY27" s="97"/>
      <c r="BZ27" s="435"/>
      <c r="CA27" s="97"/>
      <c r="CB27" s="435"/>
      <c r="CC27" s="97"/>
      <c r="CD27" s="435"/>
      <c r="CE27" s="97"/>
      <c r="CF27" s="435"/>
      <c r="CG27" s="97"/>
      <c r="CH27" s="435"/>
      <c r="CI27" s="114"/>
      <c r="CJ27" s="435"/>
      <c r="CK27" s="97"/>
      <c r="CL27" s="435"/>
      <c r="CM27" s="97"/>
      <c r="CN27" s="435"/>
      <c r="CO27" s="97"/>
      <c r="CP27" s="435"/>
      <c r="CQ27" s="97"/>
      <c r="CR27" s="435"/>
      <c r="CS27" s="97"/>
      <c r="CT27" s="435"/>
      <c r="CU27" s="97"/>
      <c r="CV27" s="435"/>
      <c r="CW27" s="97"/>
      <c r="CX27" s="435"/>
      <c r="CY27" s="97"/>
      <c r="CZ27" s="435"/>
      <c r="DA27" s="97"/>
      <c r="DB27" s="435"/>
    </row>
    <row r="28" spans="1:120" ht="18" customHeight="1" x14ac:dyDescent="0.2">
      <c r="C28" s="581"/>
      <c r="D28" s="885"/>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6"/>
      <c r="AY28" s="886"/>
      <c r="AZ28" s="886"/>
      <c r="BA28" s="886"/>
      <c r="BB28" s="886"/>
      <c r="BC28" s="887"/>
      <c r="BF28" s="97"/>
      <c r="BG28" s="97"/>
      <c r="BH28" s="435"/>
      <c r="BI28" s="114"/>
      <c r="BJ28" s="435"/>
      <c r="BK28" s="435"/>
      <c r="BL28" s="435"/>
      <c r="BM28" s="435"/>
      <c r="BN28" s="435"/>
      <c r="BO28" s="435"/>
      <c r="BP28" s="435"/>
      <c r="BQ28" s="114"/>
      <c r="BR28" s="435"/>
      <c r="BS28" s="114"/>
      <c r="BT28" s="435"/>
      <c r="BU28" s="114"/>
      <c r="BV28" s="435"/>
      <c r="BW28" s="97"/>
      <c r="BX28" s="435"/>
      <c r="BY28" s="97"/>
      <c r="BZ28" s="435"/>
      <c r="CA28" s="97"/>
      <c r="CB28" s="435"/>
      <c r="CC28" s="97"/>
      <c r="CD28" s="435"/>
      <c r="CE28" s="97"/>
      <c r="CF28" s="435"/>
      <c r="CG28" s="97"/>
      <c r="CH28" s="435"/>
      <c r="CI28" s="114"/>
      <c r="CJ28" s="435"/>
      <c r="CK28" s="97"/>
      <c r="CL28" s="435"/>
      <c r="CM28" s="97"/>
      <c r="CN28" s="435"/>
      <c r="CO28" s="97"/>
      <c r="CP28" s="435"/>
      <c r="CQ28" s="97"/>
      <c r="CR28" s="435"/>
      <c r="CS28" s="97"/>
      <c r="CT28" s="435"/>
      <c r="CU28" s="97"/>
      <c r="CV28" s="435"/>
      <c r="CW28" s="97"/>
      <c r="CX28" s="435"/>
      <c r="CY28" s="97"/>
      <c r="CZ28" s="435"/>
      <c r="DA28" s="97"/>
      <c r="DB28" s="435"/>
    </row>
    <row r="29" spans="1:120" ht="18" customHeight="1" x14ac:dyDescent="0.2">
      <c r="C29" s="581"/>
      <c r="D29" s="788"/>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c r="BB29" s="789"/>
      <c r="BC29" s="884"/>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c r="DB29" s="453"/>
    </row>
    <row r="30" spans="1:120" ht="18" customHeight="1" x14ac:dyDescent="0.2">
      <c r="C30" s="581"/>
      <c r="D30" s="788"/>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c r="BB30" s="789"/>
      <c r="BC30" s="884"/>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row>
    <row r="31" spans="1:120" ht="18" customHeight="1" x14ac:dyDescent="0.2">
      <c r="C31" s="581"/>
      <c r="D31" s="788"/>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c r="BB31" s="789"/>
      <c r="BC31" s="884"/>
      <c r="BE31" s="342"/>
    </row>
    <row r="32" spans="1:120" ht="18" customHeight="1" x14ac:dyDescent="0.2">
      <c r="C32" s="581"/>
      <c r="D32" s="878"/>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c r="AE32" s="879"/>
      <c r="AF32" s="879"/>
      <c r="AG32" s="879"/>
      <c r="AH32" s="879"/>
      <c r="AI32" s="879"/>
      <c r="AJ32" s="879"/>
      <c r="AK32" s="879"/>
      <c r="AL32" s="879"/>
      <c r="AM32" s="879"/>
      <c r="AN32" s="879"/>
      <c r="AO32" s="879"/>
      <c r="AP32" s="879"/>
      <c r="AQ32" s="879"/>
      <c r="AR32" s="879"/>
      <c r="AS32" s="879"/>
      <c r="AT32" s="879"/>
      <c r="AU32" s="879"/>
      <c r="AV32" s="879"/>
      <c r="AW32" s="879"/>
      <c r="AX32" s="879"/>
      <c r="AY32" s="879"/>
      <c r="AZ32" s="879"/>
      <c r="BA32" s="879"/>
      <c r="BB32" s="879"/>
      <c r="BC32" s="880"/>
    </row>
    <row r="33" spans="1:106" ht="18" customHeight="1" x14ac:dyDescent="0.2">
      <c r="C33" s="581"/>
      <c r="D33" s="788"/>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c r="BB33" s="789"/>
      <c r="BC33" s="884"/>
    </row>
    <row r="34" spans="1:106" ht="18" customHeight="1" x14ac:dyDescent="0.2">
      <c r="C34" s="581"/>
      <c r="D34" s="878"/>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79"/>
      <c r="AY34" s="879"/>
      <c r="AZ34" s="879"/>
      <c r="BA34" s="879"/>
      <c r="BB34" s="879"/>
      <c r="BC34" s="880"/>
    </row>
    <row r="35" spans="1:106" ht="18" customHeight="1" x14ac:dyDescent="0.2">
      <c r="C35" s="581"/>
      <c r="D35" s="788"/>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89"/>
      <c r="BC35" s="884"/>
    </row>
    <row r="36" spans="1:106" ht="18" customHeight="1" x14ac:dyDescent="0.2">
      <c r="C36" s="581"/>
      <c r="D36" s="878"/>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879"/>
      <c r="AZ36" s="879"/>
      <c r="BA36" s="879"/>
      <c r="BB36" s="879"/>
      <c r="BC36" s="880"/>
    </row>
    <row r="37" spans="1:106" ht="18" customHeight="1" x14ac:dyDescent="0.2">
      <c r="C37" s="581"/>
      <c r="D37" s="788"/>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89"/>
      <c r="AY37" s="789"/>
      <c r="AZ37" s="789"/>
      <c r="BA37" s="789"/>
      <c r="BB37" s="789"/>
      <c r="BC37" s="884"/>
    </row>
    <row r="38" spans="1:106" ht="18" customHeight="1" x14ac:dyDescent="0.2">
      <c r="C38" s="581"/>
      <c r="D38" s="885"/>
      <c r="E38" s="886"/>
      <c r="F38" s="886"/>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6"/>
      <c r="AK38" s="886"/>
      <c r="AL38" s="886"/>
      <c r="AM38" s="886"/>
      <c r="AN38" s="886"/>
      <c r="AO38" s="886"/>
      <c r="AP38" s="886"/>
      <c r="AQ38" s="886"/>
      <c r="AR38" s="886"/>
      <c r="AS38" s="886"/>
      <c r="AT38" s="886"/>
      <c r="AU38" s="886"/>
      <c r="AV38" s="886"/>
      <c r="AW38" s="886"/>
      <c r="AX38" s="886"/>
      <c r="AY38" s="886"/>
      <c r="AZ38" s="886"/>
      <c r="BA38" s="886"/>
      <c r="BB38" s="886"/>
      <c r="BC38" s="887"/>
    </row>
    <row r="39" spans="1:106" ht="18" customHeight="1" x14ac:dyDescent="0.2">
      <c r="C39" s="581"/>
      <c r="D39" s="788"/>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c r="AV39" s="789"/>
      <c r="AW39" s="789"/>
      <c r="AX39" s="789"/>
      <c r="AY39" s="789"/>
      <c r="AZ39" s="789"/>
      <c r="BA39" s="789"/>
      <c r="BB39" s="789"/>
      <c r="BC39" s="884"/>
    </row>
    <row r="40" spans="1:106" ht="18" customHeight="1" x14ac:dyDescent="0.2">
      <c r="C40" s="581"/>
      <c r="D40" s="788"/>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884"/>
    </row>
    <row r="41" spans="1:106" ht="18" customHeight="1" x14ac:dyDescent="0.2">
      <c r="C41" s="581"/>
      <c r="D41" s="788"/>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884"/>
    </row>
    <row r="42" spans="1:106" ht="18" customHeight="1" x14ac:dyDescent="0.2">
      <c r="C42" s="588"/>
      <c r="D42" s="885"/>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6"/>
      <c r="AY42" s="886"/>
      <c r="AZ42" s="886"/>
      <c r="BA42" s="886"/>
      <c r="BB42" s="886"/>
      <c r="BC42" s="887"/>
    </row>
    <row r="43" spans="1:106" ht="18" customHeight="1" x14ac:dyDescent="0.2">
      <c r="C43" s="586"/>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8"/>
      <c r="AY43" s="888"/>
      <c r="AZ43" s="888"/>
      <c r="BA43" s="888"/>
      <c r="BB43" s="888"/>
      <c r="BC43" s="889"/>
    </row>
    <row r="44" spans="1:106" s="305" customFormat="1" ht="10.5" customHeight="1" x14ac:dyDescent="0.2">
      <c r="A44" s="497"/>
      <c r="B44" s="432"/>
      <c r="C44" s="452"/>
      <c r="D44" s="452"/>
      <c r="E44" s="211"/>
      <c r="F44" s="343"/>
      <c r="G44" s="343"/>
      <c r="H44" s="239"/>
      <c r="I44" s="240"/>
      <c r="J44" s="240"/>
      <c r="K44" s="240"/>
      <c r="L44" s="240"/>
      <c r="M44" s="240"/>
      <c r="N44" s="240"/>
      <c r="O44" s="240"/>
      <c r="P44" s="241"/>
      <c r="Q44" s="240"/>
      <c r="R44" s="241"/>
      <c r="S44" s="240"/>
      <c r="T44" s="241"/>
      <c r="U44" s="240"/>
      <c r="V44" s="241"/>
      <c r="W44" s="240"/>
      <c r="X44" s="239"/>
      <c r="Y44" s="240"/>
      <c r="Z44" s="239"/>
      <c r="AA44" s="240"/>
      <c r="AB44" s="239"/>
      <c r="AC44" s="240"/>
      <c r="AD44" s="239"/>
      <c r="AE44" s="240"/>
      <c r="AF44" s="239"/>
      <c r="AG44" s="498"/>
      <c r="AH44" s="239"/>
      <c r="AI44" s="240"/>
      <c r="AJ44" s="241"/>
      <c r="AK44" s="240"/>
      <c r="AL44" s="239"/>
      <c r="AM44" s="240"/>
      <c r="AN44" s="239"/>
      <c r="AO44" s="367"/>
      <c r="AP44" s="367"/>
      <c r="AQ44" s="367"/>
      <c r="AR44" s="367"/>
      <c r="AS44" s="367"/>
      <c r="AT44" s="362"/>
      <c r="AU44" s="367"/>
      <c r="AV44" s="367"/>
      <c r="AW44" s="367"/>
      <c r="AX44" s="362"/>
      <c r="AY44" s="367"/>
      <c r="AZ44" s="362"/>
      <c r="BA44" s="367"/>
      <c r="BD44" s="453"/>
      <c r="BE44" s="453"/>
      <c r="BF44" s="453"/>
      <c r="BG44" s="453"/>
      <c r="BH44" s="453"/>
      <c r="BI44" s="453"/>
      <c r="BJ44" s="453"/>
      <c r="BK44" s="453"/>
      <c r="BL44" s="453"/>
      <c r="BM44" s="453"/>
      <c r="BN44" s="453"/>
      <c r="BO44" s="453"/>
      <c r="BP44" s="453"/>
      <c r="BQ44" s="453"/>
      <c r="BR44" s="453"/>
      <c r="BS44" s="453"/>
      <c r="BT44" s="453"/>
      <c r="BU44" s="453"/>
      <c r="BV44" s="453"/>
      <c r="BW44" s="453"/>
      <c r="BX44" s="453"/>
      <c r="BY44" s="453"/>
      <c r="BZ44" s="453"/>
      <c r="CA44" s="453"/>
      <c r="CB44" s="453"/>
      <c r="CC44" s="453"/>
      <c r="CD44" s="453"/>
      <c r="CE44" s="453"/>
      <c r="CF44" s="453"/>
      <c r="CG44" s="453"/>
      <c r="CH44" s="453"/>
      <c r="CI44" s="453"/>
      <c r="CJ44" s="453"/>
      <c r="CK44" s="453"/>
      <c r="CL44" s="453"/>
      <c r="CM44" s="453"/>
      <c r="CN44" s="453"/>
      <c r="CO44" s="453"/>
      <c r="CP44" s="453"/>
      <c r="CQ44" s="453"/>
      <c r="CR44" s="453"/>
      <c r="CS44" s="453"/>
      <c r="CT44" s="453"/>
      <c r="CU44" s="453"/>
      <c r="CV44" s="453"/>
      <c r="CW44" s="453"/>
      <c r="CX44" s="453"/>
      <c r="CY44" s="453"/>
      <c r="CZ44" s="453"/>
      <c r="DA44" s="453"/>
      <c r="DB44" s="453"/>
    </row>
    <row r="45" spans="1:106" x14ac:dyDescent="0.2">
      <c r="C45" s="235"/>
      <c r="D45" s="235"/>
      <c r="F45" s="343"/>
      <c r="G45" s="343"/>
    </row>
    <row r="46" spans="1:106" x14ac:dyDescent="0.2">
      <c r="C46" s="235"/>
      <c r="D46" s="235"/>
    </row>
    <row r="47" spans="1:106" x14ac:dyDescent="0.2">
      <c r="C47" s="235"/>
      <c r="D47" s="235"/>
    </row>
    <row r="48" spans="1:106" x14ac:dyDescent="0.2">
      <c r="C48" s="235"/>
      <c r="D48" s="235"/>
    </row>
    <row r="49" spans="3:4" x14ac:dyDescent="0.2">
      <c r="C49" s="235"/>
      <c r="D49" s="235"/>
    </row>
    <row r="50" spans="3:4" x14ac:dyDescent="0.2">
      <c r="C50" s="235"/>
      <c r="D50" s="235"/>
    </row>
    <row r="51" spans="3:4" x14ac:dyDescent="0.2">
      <c r="C51" s="235"/>
      <c r="D51" s="235"/>
    </row>
    <row r="52" spans="3:4" x14ac:dyDescent="0.2">
      <c r="C52" s="235"/>
      <c r="D52" s="235"/>
    </row>
    <row r="53" spans="3:4" x14ac:dyDescent="0.2">
      <c r="C53" s="235"/>
      <c r="D53" s="235"/>
    </row>
    <row r="54" spans="3:4" x14ac:dyDescent="0.2">
      <c r="C54" s="235"/>
      <c r="D54" s="235"/>
    </row>
    <row r="55" spans="3:4" x14ac:dyDescent="0.2">
      <c r="C55" s="235"/>
      <c r="D55" s="235"/>
    </row>
    <row r="56" spans="3:4" x14ac:dyDescent="0.2">
      <c r="C56" s="235"/>
      <c r="D56" s="235"/>
    </row>
    <row r="57" spans="3:4" x14ac:dyDescent="0.2">
      <c r="C57" s="235"/>
      <c r="D57" s="235"/>
    </row>
    <row r="58" spans="3:4" x14ac:dyDescent="0.2">
      <c r="C58" s="235"/>
      <c r="D58" s="235"/>
    </row>
    <row r="59" spans="3:4" x14ac:dyDescent="0.2">
      <c r="C59" s="235"/>
      <c r="D59" s="235"/>
    </row>
    <row r="60" spans="3:4" x14ac:dyDescent="0.2">
      <c r="C60" s="235"/>
      <c r="D60" s="235"/>
    </row>
    <row r="61" spans="3:4" x14ac:dyDescent="0.2">
      <c r="C61" s="235"/>
      <c r="D61" s="235"/>
    </row>
    <row r="62" spans="3:4" x14ac:dyDescent="0.2">
      <c r="C62" s="235"/>
      <c r="D62" s="235"/>
    </row>
    <row r="63" spans="3:4" x14ac:dyDescent="0.2">
      <c r="C63" s="235"/>
      <c r="D63" s="235"/>
    </row>
    <row r="64" spans="3:4" x14ac:dyDescent="0.2">
      <c r="C64" s="235"/>
      <c r="D64" s="235"/>
    </row>
    <row r="65" spans="3:4" x14ac:dyDescent="0.2">
      <c r="C65" s="235"/>
      <c r="D65" s="235"/>
    </row>
    <row r="66" spans="3:4" x14ac:dyDescent="0.2">
      <c r="C66" s="235"/>
      <c r="D66" s="235"/>
    </row>
    <row r="67" spans="3:4" x14ac:dyDescent="0.2">
      <c r="C67" s="235"/>
      <c r="D67" s="235"/>
    </row>
    <row r="68" spans="3:4" x14ac:dyDescent="0.2">
      <c r="C68" s="235"/>
      <c r="D68" s="235"/>
    </row>
    <row r="69" spans="3:4" x14ac:dyDescent="0.2">
      <c r="C69" s="235"/>
      <c r="D69" s="235"/>
    </row>
    <row r="70" spans="3:4" x14ac:dyDescent="0.2">
      <c r="C70" s="235"/>
      <c r="D70" s="235"/>
    </row>
    <row r="71" spans="3:4" x14ac:dyDescent="0.2">
      <c r="C71" s="235"/>
      <c r="D71" s="235"/>
    </row>
    <row r="72" spans="3:4" x14ac:dyDescent="0.2">
      <c r="C72" s="235"/>
      <c r="D72" s="235"/>
    </row>
    <row r="73" spans="3:4" x14ac:dyDescent="0.2">
      <c r="C73" s="235"/>
      <c r="D73" s="235"/>
    </row>
  </sheetData>
  <sheetProtection sheet="1" objects="1" scenarios="1" formatCells="0" formatColumns="0" formatRows="0" insertColumns="0"/>
  <mergeCells count="27">
    <mergeCell ref="D41:BC41"/>
    <mergeCell ref="D42:BC42"/>
    <mergeCell ref="D43:BC43"/>
    <mergeCell ref="D35:BC35"/>
    <mergeCell ref="D36:BC36"/>
    <mergeCell ref="D37:BC37"/>
    <mergeCell ref="D38:BC38"/>
    <mergeCell ref="D39:BC39"/>
    <mergeCell ref="D40:BC40"/>
    <mergeCell ref="D34:BC34"/>
    <mergeCell ref="D23:BC23"/>
    <mergeCell ref="D24:BC24"/>
    <mergeCell ref="D25:BC25"/>
    <mergeCell ref="D26:BC26"/>
    <mergeCell ref="D27:BC27"/>
    <mergeCell ref="D28:BC28"/>
    <mergeCell ref="D29:BC29"/>
    <mergeCell ref="D30:BC30"/>
    <mergeCell ref="D31:BC31"/>
    <mergeCell ref="D32:BC32"/>
    <mergeCell ref="D33:BC33"/>
    <mergeCell ref="C5:AN5"/>
    <mergeCell ref="D15:BB15"/>
    <mergeCell ref="D17:BB17"/>
    <mergeCell ref="D21:BC21"/>
    <mergeCell ref="D22:BC22"/>
    <mergeCell ref="D16:BB16"/>
  </mergeCells>
  <phoneticPr fontId="10" type="noConversion"/>
  <conditionalFormatting sqref="CC20 CA20 BY20 BW20 CM20 CO20 CQ20 CK20 CG20 CE20 BG20 DA20 CS20 CU20">
    <cfRule type="cellIs" dxfId="61" priority="154" stopIfTrue="1" operator="lessThan">
      <formula>BG21</formula>
    </cfRule>
  </conditionalFormatting>
  <conditionalFormatting sqref="DA18 CQ21 DA21 CQ23 BG23 BG21 BG18 BI18 BI23 BI21 BQ21 BQ18 BQ23 BS23 BS21 BS18 BU18 BU23 BU21 BW21 BW18 BW23 BY23 BY21 BY18 CA18 CA23 CA21 CU18 CU23 DA23 CU21 CS18 CS21 CS23 CO21 CO18 CQ18 CM21 CM23 CO23 CK21 CK18 CM18 CI21 CI23 CK23 CG21 CG18 CI18 CE21 CE23 CG23 CC23 CC21 CC18 CE18 BK21 BM21 BO21 BK18 BM18 BO18 BK23 BM23 BO23">
    <cfRule type="cellIs" dxfId="60" priority="165" stopIfTrue="1" operator="equal">
      <formula>"&lt;&gt;"</formula>
    </cfRule>
  </conditionalFormatting>
  <conditionalFormatting sqref="BS8:BS12 BU8:BU12 BW8:BW12 BY8:BY12 CA8:CA12 CU8:CU12 CS8:CS12 CQ8:CQ12 CO8:CO12 CM8:CM12 CK8:CK12 CI8:CI12 CG8:CG12 CC8:CC12 CE8:CE12 BK8:BK12 BM8:BM12 BO8:BO12 BQ8:BQ12 BI8:BI12 DA8:DA11">
    <cfRule type="cellIs" dxfId="59" priority="168" stopIfTrue="1" operator="equal">
      <formula>"&gt; 25%"</formula>
    </cfRule>
  </conditionalFormatting>
  <conditionalFormatting sqref="F12">
    <cfRule type="cellIs" dxfId="58" priority="33" stopIfTrue="1" operator="greaterThan">
      <formula>100-F9-F11+0.1</formula>
    </cfRule>
  </conditionalFormatting>
  <conditionalFormatting sqref="H12">
    <cfRule type="cellIs" dxfId="57" priority="32" stopIfTrue="1" operator="greaterThan">
      <formula>100-H9-H11+0.1</formula>
    </cfRule>
  </conditionalFormatting>
  <conditionalFormatting sqref="J12">
    <cfRule type="cellIs" dxfId="56" priority="31" stopIfTrue="1" operator="greaterThan">
      <formula>100-J9-J11+0.1</formula>
    </cfRule>
  </conditionalFormatting>
  <conditionalFormatting sqref="L12">
    <cfRule type="cellIs" dxfId="55" priority="30" stopIfTrue="1" operator="greaterThan">
      <formula>100-L9-L11+0.1</formula>
    </cfRule>
  </conditionalFormatting>
  <conditionalFormatting sqref="N12">
    <cfRule type="cellIs" dxfId="54" priority="29" stopIfTrue="1" operator="greaterThan">
      <formula>100-N9-N11+0.1</formula>
    </cfRule>
  </conditionalFormatting>
  <conditionalFormatting sqref="P12">
    <cfRule type="cellIs" dxfId="53" priority="28" stopIfTrue="1" operator="greaterThan">
      <formula>100-P9-P11+0.1</formula>
    </cfRule>
  </conditionalFormatting>
  <conditionalFormatting sqref="R12">
    <cfRule type="cellIs" dxfId="52" priority="27" stopIfTrue="1" operator="greaterThan">
      <formula>100-R9-R11+0.1</formula>
    </cfRule>
  </conditionalFormatting>
  <conditionalFormatting sqref="T12">
    <cfRule type="cellIs" dxfId="51" priority="26" stopIfTrue="1" operator="greaterThan">
      <formula>100-T9-T11+0.1</formula>
    </cfRule>
  </conditionalFormatting>
  <conditionalFormatting sqref="V12">
    <cfRule type="cellIs" dxfId="50" priority="25" stopIfTrue="1" operator="greaterThan">
      <formula>100-V9-V11+0.1</formula>
    </cfRule>
  </conditionalFormatting>
  <conditionalFormatting sqref="X12">
    <cfRule type="cellIs" dxfId="49" priority="24" stopIfTrue="1" operator="greaterThan">
      <formula>100-X9-X11+0.1</formula>
    </cfRule>
  </conditionalFormatting>
  <conditionalFormatting sqref="Z12">
    <cfRule type="cellIs" dxfId="48" priority="23" stopIfTrue="1" operator="greaterThan">
      <formula>100-Z9-Z11+0.1</formula>
    </cfRule>
  </conditionalFormatting>
  <conditionalFormatting sqref="AB12">
    <cfRule type="cellIs" dxfId="47" priority="22" stopIfTrue="1" operator="greaterThan">
      <formula>100-AB9-AB11+0.1</formula>
    </cfRule>
  </conditionalFormatting>
  <conditionalFormatting sqref="AD12">
    <cfRule type="cellIs" dxfId="46" priority="21" stopIfTrue="1" operator="greaterThan">
      <formula>100-AD9-AD11+0.1</formula>
    </cfRule>
  </conditionalFormatting>
  <conditionalFormatting sqref="AN12">
    <cfRule type="cellIs" dxfId="41" priority="16" stopIfTrue="1" operator="greaterThan">
      <formula>100-AN9-AN11+0.1</formula>
    </cfRule>
  </conditionalFormatting>
  <conditionalFormatting sqref="CW20 CY20">
    <cfRule type="cellIs" dxfId="39" priority="7" stopIfTrue="1" operator="lessThan">
      <formula>CW21</formula>
    </cfRule>
  </conditionalFormatting>
  <conditionalFormatting sqref="CY18 CY23 CY21 CW18 CW21 CW23">
    <cfRule type="cellIs" dxfId="38" priority="8" stopIfTrue="1" operator="equal">
      <formula>"&lt;&gt;"</formula>
    </cfRule>
  </conditionalFormatting>
  <conditionalFormatting sqref="CY8:CY12 CW8:CW12">
    <cfRule type="cellIs" dxfId="37" priority="9" stopIfTrue="1" operator="equal">
      <formula>"&gt; 25%"</formula>
    </cfRule>
  </conditionalFormatting>
  <conditionalFormatting sqref="DA12">
    <cfRule type="cellIs" dxfId="36" priority="6" stopIfTrue="1" operator="equal">
      <formula>"&gt; 25%"</formula>
    </cfRule>
  </conditionalFormatting>
  <printOptions horizontalCentered="1"/>
  <pageMargins left="0.5" right="0.5" top="0.75" bottom="0.75" header="0.5" footer="0.5"/>
  <pageSetup paperSize="9" scale="55" firstPageNumber="23" fitToHeight="0" orientation="landscape" r:id="rId1"/>
  <headerFooter alignWithMargins="0">
    <oddFooter>&amp;C&amp;"Arial,Regular"UNSD/Programa de las Naciones Unidas para el Medio Ambiente Cuestionario 2018 Estadisticas Ambientales -  Sección del Agua -  &amp;P</oddFooter>
  </headerFooter>
  <rowBreaks count="1" manualBreakCount="1">
    <brk id="17" min="2" max="4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8" ma:contentTypeDescription="Create a new document." ma:contentTypeScope="" ma:versionID="ca817211930fc2263efe6375de542638">
  <xsd:schema xmlns:xsd="http://www.w3.org/2001/XMLSchema" xmlns:xs="http://www.w3.org/2001/XMLSchema" xmlns:p="http://schemas.microsoft.com/office/2006/metadata/properties" xmlns:ns2="80b4fa15-76ba-48c8-b961-b781e21574d2" xmlns:ns3="d0274a15-5367-45e1-987a-873acbd8baaa" targetNamespace="http://schemas.microsoft.com/office/2006/metadata/properties" ma:root="true" ma:fieldsID="3335dfca724317ae0297769bef5518c2" ns2:_="" ns3:_="">
    <xsd:import namespace="80b4fa15-76ba-48c8-b961-b781e21574d2"/>
    <xsd:import namespace="d0274a15-5367-45e1-987a-873acbd8ba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0A3713-F090-4614-92A3-C1B12759640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0BFC64A-C122-4F93-AB81-90AAF3C07A7E}">
  <ds:schemaRefs>
    <ds:schemaRef ds:uri="http://schemas.microsoft.com/sharepoint/v3/contenttype/forms"/>
  </ds:schemaRefs>
</ds:datastoreItem>
</file>

<file path=customXml/itemProps3.xml><?xml version="1.0" encoding="utf-8"?>
<ds:datastoreItem xmlns:ds="http://schemas.openxmlformats.org/officeDocument/2006/customXml" ds:itemID="{E24227F8-87EE-49FD-A027-1C4D0CB72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65</vt:i4>
      </vt:variant>
    </vt:vector>
  </HeadingPairs>
  <TitlesOfParts>
    <vt:vector size="75" baseType="lpstr">
      <vt:lpstr>Índice</vt:lpstr>
      <vt:lpstr>Guía</vt:lpstr>
      <vt:lpstr>Definiciones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Definiciones!Print_Area</vt:lpstr>
      <vt:lpstr>Diagram!Print_Area</vt:lpstr>
      <vt:lpstr>Guía!Print_Area</vt:lpstr>
      <vt:lpstr>Índice!Print_Area</vt:lpstr>
      <vt:lpstr>'W1'!Print_Area</vt:lpstr>
      <vt:lpstr>'W2'!Print_Area</vt:lpstr>
      <vt:lpstr>'W3'!Print_Area</vt:lpstr>
      <vt:lpstr>'W4'!Print_Area</vt:lpstr>
      <vt:lpstr>'W5'!Print_Area</vt:lpstr>
      <vt:lpstr>'W6'!Print_Area</vt:lpstr>
      <vt:lpstr>Definiciones!Print_Titles</vt:lpstr>
      <vt:lpstr>Diagram!Print_Titles</vt:lpstr>
      <vt:lpstr>Guía!Print_Titles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Robin Carrington</cp:lastModifiedBy>
  <cp:lastPrinted>2018-07-26T20:08:07Z</cp:lastPrinted>
  <dcterms:created xsi:type="dcterms:W3CDTF">2001-01-18T18:38:40Z</dcterms:created>
  <dcterms:modified xsi:type="dcterms:W3CDTF">2020-02-10T23:08:03Z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Order">
    <vt:r8>4304200</vt:r8>
  </property>
</Properties>
</file>